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M5LABS\Conteúdo\YT\05 - Valuation\"/>
    </mc:Choice>
  </mc:AlternateContent>
  <xr:revisionPtr revIDLastSave="0" documentId="13_ncr:1_{F526B929-A46C-439C-8207-B38D350DC9C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tro" sheetId="17" r:id="rId1"/>
    <sheet name="TABELA MFM" sheetId="12" r:id="rId2"/>
    <sheet name="FCD" sheetId="2" r:id="rId3"/>
    <sheet name="Anúncios" sheetId="16" r:id="rId4"/>
    <sheet name="Planilha1" sheetId="1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15" roundtripDataChecksum="NKu9g6slOSyZeYwZlRYzn7sMKSHpfjVgj+C5/rvEKLQ="/>
    </ext>
  </extLst>
</workbook>
</file>

<file path=xl/calcChain.xml><?xml version="1.0" encoding="utf-8"?>
<calcChain xmlns="http://schemas.openxmlformats.org/spreadsheetml/2006/main">
  <c r="E8" i="16" l="1"/>
  <c r="B11" i="16"/>
  <c r="B33" i="2"/>
  <c r="N7" i="2"/>
  <c r="K7" i="2" s="1"/>
  <c r="E9" i="17"/>
  <c r="E10" i="17"/>
  <c r="E11" i="17"/>
  <c r="E12" i="17"/>
  <c r="E13" i="17"/>
  <c r="E14" i="17"/>
  <c r="E8" i="17"/>
  <c r="D9" i="17"/>
  <c r="D10" i="17"/>
  <c r="D11" i="17"/>
  <c r="D12" i="17"/>
  <c r="D13" i="17"/>
  <c r="D14" i="17"/>
  <c r="D8" i="17"/>
  <c r="C9" i="17"/>
  <c r="C10" i="17"/>
  <c r="C11" i="17"/>
  <c r="C12" i="17"/>
  <c r="C13" i="17"/>
  <c r="C14" i="17"/>
  <c r="C8" i="17"/>
  <c r="B10" i="17"/>
  <c r="B11" i="17"/>
  <c r="B12" i="17"/>
  <c r="B13" i="17"/>
  <c r="B14" i="17"/>
  <c r="B9" i="17"/>
  <c r="B8" i="17"/>
  <c r="C3" i="17"/>
  <c r="E5" i="16"/>
  <c r="E16" i="16" s="1"/>
  <c r="C7" i="16"/>
  <c r="D7" i="16"/>
  <c r="E7" i="16"/>
  <c r="C8" i="16"/>
  <c r="C16" i="16" s="1"/>
  <c r="D8" i="16"/>
  <c r="D16" i="16" s="1"/>
  <c r="B8" i="16"/>
  <c r="B15" i="16" s="1"/>
  <c r="B7" i="16"/>
  <c r="D6" i="2"/>
  <c r="C15" i="2"/>
  <c r="C11" i="2"/>
  <c r="C9" i="2"/>
  <c r="C8" i="2"/>
  <c r="C7" i="2"/>
  <c r="C3" i="15"/>
  <c r="C13" i="15" s="1"/>
  <c r="D13" i="15" s="1"/>
  <c r="E13" i="15" s="1"/>
  <c r="F13" i="15" s="1"/>
  <c r="C10" i="2" l="1"/>
  <c r="C13" i="2" s="1"/>
  <c r="C16" i="2" s="1"/>
  <c r="C17" i="2" s="1"/>
  <c r="E11" i="16"/>
  <c r="D11" i="16"/>
  <c r="C11" i="16"/>
  <c r="D14" i="16"/>
  <c r="C14" i="16"/>
  <c r="E15" i="16"/>
  <c r="D15" i="16"/>
  <c r="C15" i="16"/>
  <c r="E14" i="16"/>
  <c r="E9" i="16"/>
  <c r="D9" i="16"/>
  <c r="C9" i="16"/>
  <c r="B9" i="16"/>
  <c r="B12" i="16"/>
  <c r="B16" i="16"/>
  <c r="E12" i="16"/>
  <c r="D12" i="16"/>
  <c r="C12" i="16"/>
  <c r="B14" i="16"/>
  <c r="C14" i="2"/>
  <c r="C33" i="2" s="1"/>
  <c r="C12" i="15"/>
  <c r="D12" i="15" s="1"/>
  <c r="E12" i="15" s="1"/>
  <c r="F12" i="15" s="1"/>
  <c r="C11" i="15"/>
  <c r="D11" i="15" s="1"/>
  <c r="E11" i="15" s="1"/>
  <c r="F11" i="15" s="1"/>
  <c r="C10" i="15"/>
  <c r="D10" i="15" s="1"/>
  <c r="E10" i="15" s="1"/>
  <c r="F10" i="15" s="1"/>
  <c r="C9" i="15"/>
  <c r="D9" i="15" s="1"/>
  <c r="E9" i="15" s="1"/>
  <c r="F9" i="15" s="1"/>
  <c r="C8" i="15"/>
  <c r="D8" i="15" s="1"/>
  <c r="E8" i="15" s="1"/>
  <c r="F8" i="15" s="1"/>
  <c r="C7" i="15"/>
  <c r="D7" i="15" s="1"/>
  <c r="E7" i="15" s="1"/>
  <c r="F7" i="15" s="1"/>
  <c r="C40" i="2" l="1"/>
  <c r="C39" i="2"/>
  <c r="C37" i="2"/>
  <c r="C36" i="2"/>
  <c r="D33" i="2"/>
  <c r="S9" i="12"/>
  <c r="D11" i="2"/>
  <c r="D9" i="2"/>
  <c r="E15" i="2"/>
  <c r="F15" i="2"/>
  <c r="G15" i="2"/>
  <c r="H15" i="2"/>
  <c r="D15" i="2"/>
  <c r="D8" i="2" l="1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B4" i="12"/>
  <c r="B5" i="12"/>
  <c r="B6" i="12"/>
  <c r="B7" i="12"/>
  <c r="B8" i="12"/>
  <c r="B9" i="12"/>
  <c r="B10" i="12"/>
  <c r="B11" i="12"/>
  <c r="B12" i="12"/>
  <c r="B13" i="12"/>
  <c r="B14" i="12"/>
  <c r="B15" i="12"/>
  <c r="B3" i="12"/>
  <c r="S15" i="12" l="1"/>
  <c r="T15" i="12" s="1"/>
  <c r="S14" i="12"/>
  <c r="T14" i="12" s="1"/>
  <c r="S13" i="12"/>
  <c r="T13" i="12" s="1"/>
  <c r="S12" i="12"/>
  <c r="T12" i="12" s="1"/>
  <c r="S11" i="12"/>
  <c r="T11" i="12" s="1"/>
  <c r="S10" i="12"/>
  <c r="T10" i="12" s="1"/>
  <c r="T9" i="12"/>
  <c r="S8" i="12"/>
  <c r="T8" i="12" s="1"/>
  <c r="S7" i="12"/>
  <c r="T7" i="12" s="1"/>
  <c r="S6" i="12"/>
  <c r="T6" i="12" s="1"/>
  <c r="S5" i="12"/>
  <c r="T5" i="12" s="1"/>
  <c r="S4" i="12"/>
  <c r="T4" i="12" s="1"/>
  <c r="S3" i="12"/>
  <c r="T3" i="12" s="1"/>
  <c r="E6" i="2" l="1"/>
  <c r="E11" i="2" l="1"/>
  <c r="F6" i="2"/>
  <c r="E9" i="2"/>
  <c r="E8" i="2"/>
  <c r="E7" i="2"/>
  <c r="D7" i="2"/>
  <c r="F11" i="2" l="1"/>
  <c r="F9" i="2"/>
  <c r="F8" i="2"/>
  <c r="E10" i="2"/>
  <c r="E13" i="2" s="1"/>
  <c r="G6" i="2"/>
  <c r="G11" i="2" s="1"/>
  <c r="F7" i="2"/>
  <c r="G9" i="2" l="1"/>
  <c r="G8" i="2"/>
  <c r="K6" i="2"/>
  <c r="K5" i="2"/>
  <c r="K9" i="2" s="1"/>
  <c r="E16" i="2"/>
  <c r="E17" i="2" s="1"/>
  <c r="F10" i="2"/>
  <c r="H6" i="2"/>
  <c r="H11" i="2" s="1"/>
  <c r="G7" i="2"/>
  <c r="D10" i="2"/>
  <c r="H9" i="2" l="1"/>
  <c r="F13" i="2"/>
  <c r="F14" i="2" s="1"/>
  <c r="D13" i="2"/>
  <c r="D16" i="2" s="1"/>
  <c r="D17" i="2" s="1"/>
  <c r="H8" i="2"/>
  <c r="E14" i="2"/>
  <c r="C23" i="2"/>
  <c r="H7" i="2"/>
  <c r="G10" i="2"/>
  <c r="G13" i="2" s="1"/>
  <c r="D19" i="2" l="1"/>
  <c r="F16" i="2"/>
  <c r="F17" i="2" s="1"/>
  <c r="G16" i="2"/>
  <c r="G17" i="2" s="1"/>
  <c r="D14" i="2"/>
  <c r="H10" i="2"/>
  <c r="E19" i="2"/>
  <c r="D39" i="2" l="1"/>
  <c r="C42" i="2"/>
  <c r="D42" i="2" s="1"/>
  <c r="D36" i="2"/>
  <c r="D37" i="2"/>
  <c r="C38" i="2"/>
  <c r="D38" i="2" s="1"/>
  <c r="D40" i="2"/>
  <c r="C41" i="2"/>
  <c r="D41" i="2" s="1"/>
  <c r="F19" i="2"/>
  <c r="G14" i="2"/>
  <c r="H13" i="2"/>
  <c r="H16" i="2" s="1"/>
  <c r="G19" i="2"/>
  <c r="H14" i="2" l="1"/>
  <c r="H17" i="2"/>
  <c r="H19" i="2"/>
  <c r="C20" i="2" s="1"/>
  <c r="D44" i="2" s="1"/>
  <c r="B44" i="2" s="1"/>
  <c r="C44" i="2" s="1"/>
</calcChain>
</file>

<file path=xl/sharedStrings.xml><?xml version="1.0" encoding="utf-8"?>
<sst xmlns="http://schemas.openxmlformats.org/spreadsheetml/2006/main" count="100" uniqueCount="86">
  <si>
    <t>( + ) Receita Bruta</t>
  </si>
  <si>
    <t>( - ) Tributos sobre Vendas</t>
  </si>
  <si>
    <t>( - ) Custo da Mercadoria Vendida</t>
  </si>
  <si>
    <t xml:space="preserve">( - ) Outros gastos sobre vendas </t>
  </si>
  <si>
    <t>( = ) Margem Bruta</t>
  </si>
  <si>
    <t>( - ) Despesas Operacionais</t>
  </si>
  <si>
    <t>( - ) Depreciação</t>
  </si>
  <si>
    <t>Premissas</t>
  </si>
  <si>
    <t>Crscimento de Receita</t>
  </si>
  <si>
    <t>a.m.</t>
  </si>
  <si>
    <t>a.a.</t>
  </si>
  <si>
    <t>Lucro</t>
  </si>
  <si>
    <t>Tributos sobre vendas</t>
  </si>
  <si>
    <t>Custo de Capital Próprio (Ke)</t>
  </si>
  <si>
    <t>Custo de Capital de Terceiros (Kd)</t>
  </si>
  <si>
    <t>Patrrimônio Líquido</t>
  </si>
  <si>
    <t>Dívida Bruta</t>
  </si>
  <si>
    <t>Custo Médio Ponderado de Capital (WACC)</t>
  </si>
  <si>
    <t>% Patrimônio Líquido</t>
  </si>
  <si>
    <t>% Dívida Bruta</t>
  </si>
  <si>
    <t>Prêmio de Risco de Mercado (Rm)</t>
  </si>
  <si>
    <t>Prêmio de Risco Pequeno Porte (Pp)</t>
  </si>
  <si>
    <t>Premio de Risco País (Rp)</t>
  </si>
  <si>
    <t>https://www.bcb.gov.br/estabilidadefinanceira/selicdadosdiarios</t>
  </si>
  <si>
    <t>https://pages.stern.nyu.edu/%7Eadamodar/New_Home_Page/datafile/ctryprem.html</t>
  </si>
  <si>
    <t>https://pages.stern.nyu.edu/~adamodar/pc/datasets/totalbetaemerg.xls</t>
  </si>
  <si>
    <t>Taxa de Retorno Esperada</t>
  </si>
  <si>
    <t>https://www.b3.com.br/pt_br/market-data-e-indices/indices/indices-amplos/indice-ibovespa-ibovespa-estatisticas-historicas.htm</t>
  </si>
  <si>
    <r>
      <t>Beta (</t>
    </r>
    <r>
      <rPr>
        <sz val="11"/>
        <color theme="1"/>
        <rFont val="Calibri"/>
        <family val="2"/>
      </rPr>
      <t>ß</t>
    </r>
    <r>
      <rPr>
        <sz val="11"/>
        <color theme="1"/>
        <rFont val="Calibri"/>
        <family val="2"/>
        <scheme val="minor"/>
      </rPr>
      <t>)</t>
    </r>
  </si>
  <si>
    <t>Valor presente do Fluxo de Caixa</t>
  </si>
  <si>
    <t>Valor Presente no Horizonte</t>
  </si>
  <si>
    <t>Tabela</t>
  </si>
  <si>
    <t>FLUXO DE CAIXA PROJETADO</t>
  </si>
  <si>
    <t>RENTABILIDADE</t>
  </si>
  <si>
    <t>VALUATION DE EMPRESAS DE PEQUENO PORTE - MÚLTIPLO DE FATURAMENTO MENSAL</t>
  </si>
  <si>
    <t>PAYBACK DESEJADO</t>
  </si>
  <si>
    <t>Fonte</t>
  </si>
  <si>
    <t>Banco Central</t>
  </si>
  <si>
    <t>Bovespa</t>
  </si>
  <si>
    <t>Diferencça entre Retorno Livre e Retorno Esperado</t>
  </si>
  <si>
    <t>Taxa de Retorno Livre de Risco (Rf)</t>
  </si>
  <si>
    <t>COMPONENTE DO CCP (Ke)</t>
  </si>
  <si>
    <t>VALOR</t>
  </si>
  <si>
    <t>OBSERVAÇÃO</t>
  </si>
  <si>
    <t>FONTE</t>
  </si>
  <si>
    <t>( = ) Lucro Líquido</t>
  </si>
  <si>
    <t>( + ) Depreciação</t>
  </si>
  <si>
    <t>( = ) Fluxo de Caixa Livre</t>
  </si>
  <si>
    <t>Margem Líquida</t>
  </si>
  <si>
    <t>Margem FCL</t>
  </si>
  <si>
    <t>Rentabilidade de 2024 a 2025</t>
  </si>
  <si>
    <t>Varejo - Geral</t>
  </si>
  <si>
    <t>Taxa Selic - 02/09/2025</t>
  </si>
  <si>
    <t>Faturamento</t>
  </si>
  <si>
    <t>Damodaran (2025)</t>
  </si>
  <si>
    <t>M. Baixo (4%) | Baixo (7%) | Médio (10%) | Alto (15%) | M. Alto (20%)</t>
  </si>
  <si>
    <t>PB/Lucro</t>
  </si>
  <si>
    <t>Payback</t>
  </si>
  <si>
    <t>MF</t>
  </si>
  <si>
    <t>Valor da empresa</t>
  </si>
  <si>
    <t>Comprovação</t>
  </si>
  <si>
    <t>Rentabilidade</t>
  </si>
  <si>
    <t>Mês</t>
  </si>
  <si>
    <t>MARGEM</t>
  </si>
  <si>
    <t>MÚLTIPLO</t>
  </si>
  <si>
    <t>VALUATION</t>
  </si>
  <si>
    <t>VALOR DA RECEITA MENSAL</t>
  </si>
  <si>
    <t>Empresa</t>
  </si>
  <si>
    <t>Valor</t>
  </si>
  <si>
    <t>Pet Shop</t>
  </si>
  <si>
    <t>Faturamento Anual</t>
  </si>
  <si>
    <t>Lucro Anual</t>
  </si>
  <si>
    <t>Produtos Naturais</t>
  </si>
  <si>
    <t>Açaí</t>
  </si>
  <si>
    <t>Distr. Descartáveis</t>
  </si>
  <si>
    <t>Faturamento Mensal</t>
  </si>
  <si>
    <t>Lucro Mensal</t>
  </si>
  <si>
    <t>Margem</t>
  </si>
  <si>
    <t>Payback 18</t>
  </si>
  <si>
    <t>Payback 20</t>
  </si>
  <si>
    <t>Payback 24</t>
  </si>
  <si>
    <t>FCD</t>
  </si>
  <si>
    <t>Multiplos</t>
  </si>
  <si>
    <t>Anúncios</t>
  </si>
  <si>
    <t>Múltiplo</t>
  </si>
  <si>
    <t>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</si>
</sst>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%"/>
    <numFmt numFmtId="165" formatCode="_-* #,##0_-;\-* #,##0_-;_-* &quot;-&quot;??_-;_-@"/>
    <numFmt numFmtId="166" formatCode="_-&quot;R$&quot;\ * #,##0_-;\-&quot;R$&quot;\ * #,##0_-;_-&quot;R$&quot;\ * &quot;-&quot;??_-;_-@_-"/>
    <numFmt numFmtId="167" formatCode="_-* #,##0.0000_-;\-* #,##0.0000_-;_-* &quot;-&quot;??_-;_-@_-"/>
    <numFmt numFmtId="168" formatCode="_-* #,##0.0_-;\-* #,##0.0_-;_-* &quot;-&quot;??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theme="2"/>
      <name val="Calibri"/>
      <family val="2"/>
      <scheme val="minor"/>
    </font>
    <font>
      <u/>
      <sz val="11"/>
      <color theme="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" fillId="0" borderId="1"/>
    <xf numFmtId="9" fontId="5" fillId="0" borderId="1" applyFont="0" applyFill="0" applyBorder="0" applyAlignment="0" applyProtection="0"/>
    <xf numFmtId="43" fontId="5" fillId="0" borderId="1" applyFont="0" applyFill="0" applyBorder="0" applyAlignment="0" applyProtection="0"/>
    <xf numFmtId="0" fontId="14" fillId="0" borderId="0" applyNumberFormat="0" applyFill="0" applyBorder="0" applyAlignment="0" applyProtection="0"/>
  </cellStyleXfs>
  <cellXfs count="103">
    <xf numFmtId="0" fontId="0" fillId="0" borderId="0" xfId="0" applyFont="1" applyAlignment="1"/>
    <xf numFmtId="164" fontId="7" fillId="0" borderId="0" xfId="0" applyNumberFormat="1" applyFont="1"/>
    <xf numFmtId="165" fontId="7" fillId="0" borderId="0" xfId="0" applyNumberFormat="1" applyFont="1"/>
    <xf numFmtId="0" fontId="9" fillId="0" borderId="0" xfId="0" applyFont="1"/>
    <xf numFmtId="0" fontId="6" fillId="0" borderId="0" xfId="0" applyFont="1" applyAlignment="1"/>
    <xf numFmtId="44" fontId="0" fillId="0" borderId="0" xfId="0" applyNumberFormat="1" applyFont="1" applyAlignment="1"/>
    <xf numFmtId="164" fontId="0" fillId="0" borderId="0" xfId="3" applyNumberFormat="1" applyFont="1" applyAlignment="1"/>
    <xf numFmtId="43" fontId="0" fillId="0" borderId="0" xfId="1" applyFont="1" applyAlignment="1"/>
    <xf numFmtId="0" fontId="12" fillId="0" borderId="2" xfId="0" applyFont="1" applyBorder="1" applyAlignment="1">
      <alignment horizontal="center"/>
    </xf>
    <xf numFmtId="166" fontId="0" fillId="0" borderId="0" xfId="2" applyNumberFormat="1" applyFont="1" applyAlignment="1"/>
    <xf numFmtId="166" fontId="0" fillId="0" borderId="0" xfId="0" applyNumberFormat="1" applyFont="1" applyAlignment="1"/>
    <xf numFmtId="165" fontId="8" fillId="0" borderId="2" xfId="0" applyNumberFormat="1" applyFont="1" applyBorder="1"/>
    <xf numFmtId="165" fontId="7" fillId="0" borderId="2" xfId="0" applyNumberFormat="1" applyFont="1" applyBorder="1"/>
    <xf numFmtId="164" fontId="10" fillId="0" borderId="2" xfId="0" applyNumberFormat="1" applyFont="1" applyBorder="1"/>
    <xf numFmtId="0" fontId="8" fillId="0" borderId="2" xfId="0" applyFont="1" applyBorder="1"/>
    <xf numFmtId="0" fontId="9" fillId="0" borderId="2" xfId="0" applyFont="1" applyBorder="1"/>
    <xf numFmtId="0" fontId="7" fillId="0" borderId="2" xfId="0" applyFont="1" applyBorder="1"/>
    <xf numFmtId="0" fontId="6" fillId="0" borderId="2" xfId="0" applyFont="1" applyBorder="1" applyAlignment="1"/>
    <xf numFmtId="0" fontId="10" fillId="0" borderId="2" xfId="0" applyFont="1" applyBorder="1"/>
    <xf numFmtId="0" fontId="0" fillId="0" borderId="2" xfId="0" applyFont="1" applyBorder="1" applyAlignment="1"/>
    <xf numFmtId="0" fontId="12" fillId="0" borderId="2" xfId="0" applyFont="1" applyBorder="1" applyAlignment="1"/>
    <xf numFmtId="9" fontId="8" fillId="0" borderId="2" xfId="0" applyNumberFormat="1" applyFont="1" applyBorder="1"/>
    <xf numFmtId="0" fontId="12" fillId="0" borderId="2" xfId="0" applyFont="1" applyBorder="1"/>
    <xf numFmtId="0" fontId="8" fillId="0" borderId="6" xfId="0" applyFont="1" applyBorder="1"/>
    <xf numFmtId="165" fontId="8" fillId="0" borderId="6" xfId="0" applyNumberFormat="1" applyFont="1" applyBorder="1"/>
    <xf numFmtId="0" fontId="7" fillId="0" borderId="5" xfId="0" applyFont="1" applyBorder="1"/>
    <xf numFmtId="165" fontId="7" fillId="0" borderId="5" xfId="0" applyNumberFormat="1" applyFont="1" applyBorder="1"/>
    <xf numFmtId="0" fontId="13" fillId="2" borderId="2" xfId="0" applyFont="1" applyFill="1" applyBorder="1" applyAlignment="1">
      <alignment horizontal="center"/>
    </xf>
    <xf numFmtId="0" fontId="0" fillId="3" borderId="0" xfId="0" applyFont="1" applyFill="1" applyAlignment="1"/>
    <xf numFmtId="165" fontId="0" fillId="3" borderId="0" xfId="0" applyNumberFormat="1" applyFont="1" applyFill="1" applyAlignment="1"/>
    <xf numFmtId="44" fontId="0" fillId="0" borderId="2" xfId="2" applyFont="1" applyBorder="1" applyAlignment="1"/>
    <xf numFmtId="164" fontId="0" fillId="0" borderId="2" xfId="3" applyNumberFormat="1" applyFont="1" applyBorder="1" applyAlignment="1"/>
    <xf numFmtId="164" fontId="0" fillId="0" borderId="2" xfId="0" applyNumberFormat="1" applyFont="1" applyBorder="1" applyAlignment="1"/>
    <xf numFmtId="0" fontId="0" fillId="4" borderId="0" xfId="0" applyFill="1"/>
    <xf numFmtId="43" fontId="0" fillId="0" borderId="2" xfId="1" applyFont="1" applyBorder="1" applyAlignment="1"/>
    <xf numFmtId="166" fontId="0" fillId="0" borderId="2" xfId="2" applyNumberFormat="1" applyFont="1" applyBorder="1" applyAlignment="1"/>
    <xf numFmtId="10" fontId="0" fillId="0" borderId="2" xfId="3" applyNumberFormat="1" applyFont="1" applyBorder="1" applyAlignment="1"/>
    <xf numFmtId="0" fontId="0" fillId="0" borderId="0" xfId="0" applyFont="1" applyAlignment="1"/>
    <xf numFmtId="0" fontId="4" fillId="0" borderId="2" xfId="0" applyFont="1" applyBorder="1" applyAlignment="1"/>
    <xf numFmtId="166" fontId="0" fillId="0" borderId="2" xfId="0" applyNumberFormat="1" applyFont="1" applyBorder="1" applyAlignment="1"/>
    <xf numFmtId="166" fontId="12" fillId="0" borderId="2" xfId="0" applyNumberFormat="1" applyFont="1" applyBorder="1" applyAlignment="1"/>
    <xf numFmtId="164" fontId="12" fillId="0" borderId="2" xfId="3" applyNumberFormat="1" applyFont="1" applyBorder="1" applyAlignment="1"/>
    <xf numFmtId="2" fontId="0" fillId="0" borderId="2" xfId="0" applyNumberFormat="1" applyFont="1" applyBorder="1" applyAlignment="1"/>
    <xf numFmtId="10" fontId="9" fillId="0" borderId="2" xfId="3" applyNumberFormat="1" applyFont="1" applyBorder="1" applyAlignment="1"/>
    <xf numFmtId="44" fontId="0" fillId="0" borderId="0" xfId="2" applyFont="1" applyAlignment="1"/>
    <xf numFmtId="0" fontId="0" fillId="0" borderId="0" xfId="0" applyFont="1" applyAlignment="1"/>
    <xf numFmtId="0" fontId="3" fillId="0" borderId="2" xfId="0" applyFont="1" applyBorder="1"/>
    <xf numFmtId="0" fontId="8" fillId="0" borderId="8" xfId="0" applyFont="1" applyBorder="1"/>
    <xf numFmtId="165" fontId="8" fillId="0" borderId="8" xfId="0" applyNumberFormat="1" applyFont="1" applyBorder="1"/>
    <xf numFmtId="0" fontId="7" fillId="0" borderId="9" xfId="0" applyFont="1" applyBorder="1"/>
    <xf numFmtId="165" fontId="7" fillId="0" borderId="9" xfId="0" applyNumberFormat="1" applyFont="1" applyBorder="1"/>
    <xf numFmtId="0" fontId="3" fillId="0" borderId="0" xfId="0" applyFont="1" applyAlignment="1"/>
    <xf numFmtId="0" fontId="3" fillId="0" borderId="2" xfId="0" applyFont="1" applyBorder="1" applyAlignment="1"/>
    <xf numFmtId="4" fontId="15" fillId="0" borderId="0" xfId="0" applyNumberFormat="1" applyFont="1" applyAlignment="1"/>
    <xf numFmtId="43" fontId="0" fillId="0" borderId="0" xfId="0" applyNumberFormat="1" applyFont="1" applyAlignment="1"/>
    <xf numFmtId="9" fontId="0" fillId="0" borderId="0" xfId="3" applyFont="1" applyAlignment="1"/>
    <xf numFmtId="167" fontId="0" fillId="0" borderId="0" xfId="1" applyNumberFormat="1" applyFont="1" applyAlignment="1"/>
    <xf numFmtId="4" fontId="15" fillId="0" borderId="1" xfId="0" applyNumberFormat="1" applyFont="1" applyBorder="1" applyAlignment="1">
      <alignment vertical="center" wrapText="1"/>
    </xf>
    <xf numFmtId="0" fontId="16" fillId="0" borderId="0" xfId="0" applyFont="1" applyAlignment="1"/>
    <xf numFmtId="0" fontId="17" fillId="0" borderId="0" xfId="7" applyFont="1" applyAlignment="1"/>
    <xf numFmtId="164" fontId="8" fillId="0" borderId="2" xfId="0" applyNumberFormat="1" applyFont="1" applyBorder="1"/>
    <xf numFmtId="0" fontId="12" fillId="5" borderId="2" xfId="0" applyFont="1" applyFill="1" applyBorder="1" applyAlignment="1">
      <alignment horizontal="center"/>
    </xf>
    <xf numFmtId="43" fontId="0" fillId="5" borderId="2" xfId="1" applyFont="1" applyFill="1" applyBorder="1"/>
    <xf numFmtId="164" fontId="0" fillId="5" borderId="2" xfId="3" applyNumberFormat="1" applyFont="1" applyFill="1" applyBorder="1"/>
    <xf numFmtId="10" fontId="0" fillId="0" borderId="0" xfId="3" applyNumberFormat="1" applyFont="1" applyAlignment="1"/>
    <xf numFmtId="44" fontId="0" fillId="0" borderId="2" xfId="0" applyNumberFormat="1" applyFont="1" applyBorder="1" applyAlignment="1"/>
    <xf numFmtId="0" fontId="0" fillId="5" borderId="2" xfId="0" applyFont="1" applyFill="1" applyBorder="1" applyAlignment="1"/>
    <xf numFmtId="43" fontId="0" fillId="5" borderId="2" xfId="1" applyFont="1" applyFill="1" applyBorder="1" applyAlignment="1"/>
    <xf numFmtId="44" fontId="0" fillId="5" borderId="2" xfId="2" applyFont="1" applyFill="1" applyBorder="1" applyAlignment="1"/>
    <xf numFmtId="44" fontId="0" fillId="5" borderId="2" xfId="0" applyNumberFormat="1" applyFont="1" applyFill="1" applyBorder="1" applyAlignment="1"/>
    <xf numFmtId="10" fontId="0" fillId="5" borderId="2" xfId="3" applyNumberFormat="1" applyFont="1" applyFill="1" applyBorder="1" applyAlignment="1"/>
    <xf numFmtId="0" fontId="13" fillId="6" borderId="2" xfId="0" applyFont="1" applyFill="1" applyBorder="1" applyAlignment="1">
      <alignment horizontal="center"/>
    </xf>
    <xf numFmtId="10" fontId="12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1" xfId="0" applyFont="1" applyBorder="1" applyAlignment="1"/>
    <xf numFmtId="168" fontId="0" fillId="0" borderId="2" xfId="1" applyNumberFormat="1" applyFont="1" applyBorder="1" applyAlignment="1">
      <alignment horizontal="center" vertical="center"/>
    </xf>
    <xf numFmtId="0" fontId="19" fillId="7" borderId="2" xfId="0" applyFont="1" applyFill="1" applyBorder="1" applyAlignment="1"/>
    <xf numFmtId="166" fontId="19" fillId="7" borderId="2" xfId="2" applyNumberFormat="1" applyFont="1" applyFill="1" applyBorder="1" applyAlignment="1"/>
    <xf numFmtId="0" fontId="3" fillId="0" borderId="2" xfId="0" applyFont="1" applyFill="1" applyBorder="1" applyAlignment="1"/>
    <xf numFmtId="166" fontId="12" fillId="0" borderId="2" xfId="2" applyNumberFormat="1" applyFont="1" applyBorder="1" applyAlignment="1"/>
    <xf numFmtId="10" fontId="0" fillId="0" borderId="8" xfId="3" applyNumberFormat="1" applyFont="1" applyFill="1" applyBorder="1" applyAlignment="1"/>
    <xf numFmtId="0" fontId="12" fillId="0" borderId="0" xfId="0" applyFont="1" applyAlignment="1"/>
    <xf numFmtId="0" fontId="2" fillId="0" borderId="0" xfId="0" applyFont="1" applyAlignment="1"/>
    <xf numFmtId="0" fontId="12" fillId="7" borderId="0" xfId="0" applyFont="1" applyFill="1" applyAlignment="1"/>
    <xf numFmtId="43" fontId="0" fillId="7" borderId="0" xfId="1" applyFont="1" applyFill="1" applyAlignment="1"/>
    <xf numFmtId="44" fontId="0" fillId="7" borderId="0" xfId="2" applyFont="1" applyFill="1" applyAlignment="1"/>
    <xf numFmtId="44" fontId="0" fillId="7" borderId="0" xfId="0" applyNumberFormat="1" applyFont="1" applyFill="1" applyAlignment="1"/>
    <xf numFmtId="164" fontId="0" fillId="7" borderId="0" xfId="3" applyNumberFormat="1" applyFont="1" applyFill="1" applyAlignment="1"/>
    <xf numFmtId="43" fontId="21" fillId="5" borderId="2" xfId="1" applyFont="1" applyFill="1" applyBorder="1"/>
    <xf numFmtId="44" fontId="12" fillId="0" borderId="0" xfId="2" applyFont="1" applyAlignment="1"/>
    <xf numFmtId="165" fontId="0" fillId="0" borderId="0" xfId="0" applyNumberFormat="1" applyFont="1" applyAlignment="1"/>
    <xf numFmtId="43" fontId="12" fillId="0" borderId="0" xfId="1" applyFont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4" borderId="2" xfId="0" applyFont="1" applyFill="1" applyBorder="1"/>
    <xf numFmtId="9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43" fontId="0" fillId="4" borderId="2" xfId="1" applyFont="1" applyFill="1" applyBorder="1"/>
    <xf numFmtId="164" fontId="0" fillId="4" borderId="2" xfId="3" applyNumberFormat="1" applyFont="1" applyFill="1" applyBorder="1"/>
    <xf numFmtId="43" fontId="21" fillId="4" borderId="2" xfId="1" applyFont="1" applyFill="1" applyBorder="1"/>
  </cellXfs>
  <cellStyles count="8">
    <cellStyle name="Hiperlink" xfId="7" builtinId="8"/>
    <cellStyle name="Moeda" xfId="2" builtinId="4"/>
    <cellStyle name="Normal" xfId="0" builtinId="0"/>
    <cellStyle name="Normal 2" xfId="4" xr:uid="{CF9B251D-FBFF-43D1-8664-BF746F76CB43}"/>
    <cellStyle name="Porcentagem" xfId="3" builtinId="5"/>
    <cellStyle name="Porcentagem 2" xfId="5" xr:uid="{918B3AEF-1334-4E5E-A3BE-3E9F9A89ACD3}"/>
    <cellStyle name="Vírgula" xfId="1" builtinId="3"/>
    <cellStyle name="Vírgula 2" xfId="6" xr:uid="{02F88A22-F6E1-4D8E-BEEA-FDB75D856B97}"/>
  </cellStyles>
  <dxfs count="18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1"/>
          <bgColor theme="1"/>
        </patternFill>
      </fill>
    </dxf>
  </dxfs>
  <tableStyles count="5">
    <tableStyle name="Ficha Técnica Pastel de Carne-style" pivot="0" count="4" xr9:uid="{00000000-0011-0000-FFFF-FFFF00000000}">
      <tableStyleElement type="headerRow" dxfId="17"/>
      <tableStyleElement type="totalRow" dxfId="16"/>
      <tableStyleElement type="firstRowStripe" dxfId="15"/>
      <tableStyleElement type="secondRowStripe" dxfId="14"/>
    </tableStyle>
    <tableStyle name="Ficha Técnica Pastel de Carne-style 2" pivot="0" count="2" xr9:uid="{00000000-0011-0000-FFFF-FFFF01000000}">
      <tableStyleElement type="firstRowStripe" dxfId="13"/>
      <tableStyleElement type="secondRowStripe" dxfId="12"/>
    </tableStyle>
    <tableStyle name="Ficha Técnica Pastel de queijo-style" pivot="0" count="4" xr9:uid="{00000000-0011-0000-FFFF-FFFF02000000}">
      <tableStyleElement type="headerRow" dxfId="11"/>
      <tableStyleElement type="totalRow" dxfId="10"/>
      <tableStyleElement type="firstRowStripe" dxfId="9"/>
      <tableStyleElement type="secondRowStripe" dxfId="8"/>
    </tableStyle>
    <tableStyle name="Ficha Técnica Pastel de Pizza-style" pivot="0" count="4" xr9:uid="{00000000-0011-0000-FFFF-FFFF03000000}">
      <tableStyleElement type="headerRow" dxfId="7"/>
      <tableStyleElement type="totalRow" dxfId="6"/>
      <tableStyleElement type="firstRowStripe" dxfId="5"/>
      <tableStyleElement type="secondRowStripe" dxfId="4"/>
    </tableStyle>
    <tableStyle name="Cópia de Ficha Técnica Pastel d-style" pivot="0" count="4" xr9:uid="{00000000-0011-0000-FFFF-FFFF04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78828</xdr:colOff>
      <xdr:row>11</xdr:row>
      <xdr:rowOff>183931</xdr:rowOff>
    </xdr:from>
    <xdr:to>
      <xdr:col>9</xdr:col>
      <xdr:colOff>2648811</xdr:colOff>
      <xdr:row>13</xdr:row>
      <xdr:rowOff>32845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8AF646E-25AE-4552-8248-B45CDB2C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1742" y="2286000"/>
          <a:ext cx="2569983" cy="23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3.com.br/pt_br/market-data-e-indices/indices/indices-amplos/indice-ibovespa-ibovespa-estatisticas-historica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B0A0-3D72-42B0-8576-81F88CDA38E3}">
  <dimension ref="A1:H14"/>
  <sheetViews>
    <sheetView zoomScale="205" zoomScaleNormal="205" workbookViewId="0">
      <selection activeCell="C1" sqref="C1"/>
    </sheetView>
  </sheetViews>
  <sheetFormatPr defaultRowHeight="15" x14ac:dyDescent="0.25"/>
  <cols>
    <col min="1" max="1" width="12.42578125" bestFit="1" customWidth="1"/>
    <col min="2" max="2" width="14.5703125" bestFit="1" customWidth="1"/>
    <col min="3" max="3" width="14.28515625" bestFit="1" customWidth="1"/>
    <col min="4" max="4" width="13.28515625" bestFit="1" customWidth="1"/>
  </cols>
  <sheetData>
    <row r="1" spans="1:8" x14ac:dyDescent="0.25">
      <c r="B1" t="s">
        <v>85</v>
      </c>
      <c r="H1" t="s">
        <v>82</v>
      </c>
    </row>
    <row r="2" spans="1:8" x14ac:dyDescent="0.25">
      <c r="A2" t="s">
        <v>53</v>
      </c>
      <c r="B2" s="44">
        <v>100000</v>
      </c>
      <c r="H2" t="s">
        <v>81</v>
      </c>
    </row>
    <row r="3" spans="1:8" x14ac:dyDescent="0.25">
      <c r="A3" t="s">
        <v>11</v>
      </c>
      <c r="B3" s="44">
        <v>10000</v>
      </c>
      <c r="C3" s="55">
        <f>B3/B2</f>
        <v>0.1</v>
      </c>
      <c r="H3" t="s">
        <v>83</v>
      </c>
    </row>
    <row r="7" spans="1:8" x14ac:dyDescent="0.25">
      <c r="A7" t="s">
        <v>57</v>
      </c>
      <c r="B7" t="s">
        <v>84</v>
      </c>
      <c r="C7" t="s">
        <v>68</v>
      </c>
      <c r="D7" t="s">
        <v>60</v>
      </c>
      <c r="E7" s="82" t="s">
        <v>61</v>
      </c>
    </row>
    <row r="8" spans="1:8" x14ac:dyDescent="0.25">
      <c r="A8" s="83">
        <v>18</v>
      </c>
      <c r="B8" s="84">
        <f>A8*C3</f>
        <v>1.8</v>
      </c>
      <c r="C8" s="85">
        <f>$B$2*B8</f>
        <v>180000</v>
      </c>
      <c r="D8" s="86">
        <f>C8/A8</f>
        <v>10000</v>
      </c>
      <c r="E8" s="87">
        <f>$B$3/C8</f>
        <v>5.5555555555555552E-2</v>
      </c>
    </row>
    <row r="9" spans="1:8" x14ac:dyDescent="0.25">
      <c r="A9" s="83">
        <v>19</v>
      </c>
      <c r="B9" s="84">
        <f>A9*$C$3</f>
        <v>1.9000000000000001</v>
      </c>
      <c r="C9" s="85">
        <f t="shared" ref="C9:C14" si="0">$B$2*B9</f>
        <v>190000</v>
      </c>
      <c r="D9" s="86">
        <f t="shared" ref="D9:D14" si="1">C9/A9</f>
        <v>10000</v>
      </c>
      <c r="E9" s="87">
        <f t="shared" ref="E9:E14" si="2">$B$3/C9</f>
        <v>5.2631578947368418E-2</v>
      </c>
    </row>
    <row r="10" spans="1:8" x14ac:dyDescent="0.25">
      <c r="A10" s="83">
        <v>20</v>
      </c>
      <c r="B10" s="84">
        <f t="shared" ref="B10:B14" si="3">A10*$C$3</f>
        <v>2</v>
      </c>
      <c r="C10" s="85">
        <f t="shared" si="0"/>
        <v>200000</v>
      </c>
      <c r="D10" s="86">
        <f t="shared" si="1"/>
        <v>10000</v>
      </c>
      <c r="E10" s="87">
        <f t="shared" si="2"/>
        <v>0.05</v>
      </c>
    </row>
    <row r="11" spans="1:8" x14ac:dyDescent="0.25">
      <c r="A11" s="81">
        <v>21</v>
      </c>
      <c r="B11" s="7">
        <f t="shared" si="3"/>
        <v>2.1</v>
      </c>
      <c r="C11" s="44">
        <f t="shared" si="0"/>
        <v>210000</v>
      </c>
      <c r="D11" s="5">
        <f t="shared" si="1"/>
        <v>10000</v>
      </c>
      <c r="E11" s="6">
        <f t="shared" si="2"/>
        <v>4.7619047619047616E-2</v>
      </c>
    </row>
    <row r="12" spans="1:8" x14ac:dyDescent="0.25">
      <c r="A12" s="81">
        <v>22</v>
      </c>
      <c r="B12" s="7">
        <f t="shared" si="3"/>
        <v>2.2000000000000002</v>
      </c>
      <c r="C12" s="44">
        <f t="shared" si="0"/>
        <v>220000.00000000003</v>
      </c>
      <c r="D12" s="5">
        <f t="shared" si="1"/>
        <v>10000.000000000002</v>
      </c>
      <c r="E12" s="6">
        <f t="shared" si="2"/>
        <v>4.5454545454545449E-2</v>
      </c>
    </row>
    <row r="13" spans="1:8" x14ac:dyDescent="0.25">
      <c r="A13" s="81">
        <v>23</v>
      </c>
      <c r="B13" s="7">
        <f t="shared" si="3"/>
        <v>2.3000000000000003</v>
      </c>
      <c r="C13" s="44">
        <f t="shared" si="0"/>
        <v>230000.00000000003</v>
      </c>
      <c r="D13" s="5">
        <f t="shared" si="1"/>
        <v>10000.000000000002</v>
      </c>
      <c r="E13" s="6">
        <f t="shared" si="2"/>
        <v>4.3478260869565209E-2</v>
      </c>
    </row>
    <row r="14" spans="1:8" x14ac:dyDescent="0.25">
      <c r="A14" s="81">
        <v>24</v>
      </c>
      <c r="B14" s="7">
        <f t="shared" si="3"/>
        <v>2.4000000000000004</v>
      </c>
      <c r="C14" s="44">
        <f t="shared" si="0"/>
        <v>240000.00000000003</v>
      </c>
      <c r="D14" s="5">
        <f t="shared" si="1"/>
        <v>10000.000000000002</v>
      </c>
      <c r="E14" s="6">
        <f t="shared" si="2"/>
        <v>4.1666666666666664E-2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1CBE7-BEE4-43B9-8787-5FF331B6D5F6}">
  <dimension ref="A1:AA32"/>
  <sheetViews>
    <sheetView tabSelected="1" zoomScale="175" zoomScaleNormal="175" workbookViewId="0">
      <selection activeCell="F20" sqref="F20"/>
    </sheetView>
  </sheetViews>
  <sheetFormatPr defaultRowHeight="15" x14ac:dyDescent="0.25"/>
  <cols>
    <col min="1" max="17" width="6.85546875" customWidth="1"/>
    <col min="18" max="18" width="1.28515625" customWidth="1"/>
    <col min="19" max="20" width="7.42578125" customWidth="1"/>
    <col min="23" max="23" width="19.42578125" customWidth="1"/>
    <col min="24" max="24" width="22" bestFit="1" customWidth="1"/>
    <col min="25" max="25" width="19" bestFit="1" customWidth="1"/>
    <col min="27" max="27" width="13.7109375" bestFit="1" customWidth="1"/>
  </cols>
  <sheetData>
    <row r="1" spans="1:27" x14ac:dyDescent="0.25">
      <c r="A1" s="92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4"/>
      <c r="R1" s="33"/>
      <c r="S1" s="92" t="s">
        <v>33</v>
      </c>
      <c r="T1" s="93"/>
    </row>
    <row r="2" spans="1:27" x14ac:dyDescent="0.25">
      <c r="A2" s="97" t="s">
        <v>56</v>
      </c>
      <c r="B2" s="98">
        <v>0.05</v>
      </c>
      <c r="C2" s="98">
        <v>0.06</v>
      </c>
      <c r="D2" s="98">
        <v>7.0000000000000007E-2</v>
      </c>
      <c r="E2" s="98">
        <v>0.08</v>
      </c>
      <c r="F2" s="98">
        <v>0.09</v>
      </c>
      <c r="G2" s="98">
        <v>0.1</v>
      </c>
      <c r="H2" s="98">
        <v>0.11</v>
      </c>
      <c r="I2" s="98">
        <v>0.12</v>
      </c>
      <c r="J2" s="98">
        <v>0.13</v>
      </c>
      <c r="K2" s="98">
        <v>0.14000000000000001</v>
      </c>
      <c r="L2" s="98">
        <v>0.15</v>
      </c>
      <c r="M2" s="98">
        <v>0.16</v>
      </c>
      <c r="N2" s="98">
        <v>0.17</v>
      </c>
      <c r="O2" s="98">
        <v>0.18</v>
      </c>
      <c r="P2" s="98">
        <v>0.19</v>
      </c>
      <c r="Q2" s="98">
        <v>0.2</v>
      </c>
      <c r="R2" s="33"/>
      <c r="S2" s="99" t="s">
        <v>9</v>
      </c>
      <c r="T2" s="99" t="s">
        <v>10</v>
      </c>
    </row>
    <row r="3" spans="1:27" x14ac:dyDescent="0.25">
      <c r="A3" s="99">
        <v>12</v>
      </c>
      <c r="B3" s="100">
        <f>B$2*$A3</f>
        <v>0.60000000000000009</v>
      </c>
      <c r="C3" s="100">
        <f t="shared" ref="C3:Q3" si="0">C$2*$A3</f>
        <v>0.72</v>
      </c>
      <c r="D3" s="100">
        <f t="shared" si="0"/>
        <v>0.84000000000000008</v>
      </c>
      <c r="E3" s="100">
        <f t="shared" si="0"/>
        <v>0.96</v>
      </c>
      <c r="F3" s="100">
        <f t="shared" si="0"/>
        <v>1.08</v>
      </c>
      <c r="G3" s="100">
        <f t="shared" si="0"/>
        <v>1.2000000000000002</v>
      </c>
      <c r="H3" s="100">
        <f t="shared" si="0"/>
        <v>1.32</v>
      </c>
      <c r="I3" s="100">
        <f t="shared" si="0"/>
        <v>1.44</v>
      </c>
      <c r="J3" s="100">
        <f t="shared" si="0"/>
        <v>1.56</v>
      </c>
      <c r="K3" s="100">
        <f t="shared" si="0"/>
        <v>1.6800000000000002</v>
      </c>
      <c r="L3" s="100">
        <f t="shared" si="0"/>
        <v>1.7999999999999998</v>
      </c>
      <c r="M3" s="100">
        <f t="shared" si="0"/>
        <v>1.92</v>
      </c>
      <c r="N3" s="100">
        <f t="shared" si="0"/>
        <v>2.04</v>
      </c>
      <c r="O3" s="100">
        <f t="shared" si="0"/>
        <v>2.16</v>
      </c>
      <c r="P3" s="100">
        <f t="shared" si="0"/>
        <v>2.2800000000000002</v>
      </c>
      <c r="Q3" s="100">
        <f t="shared" si="0"/>
        <v>2.4000000000000004</v>
      </c>
      <c r="R3" s="33"/>
      <c r="S3" s="101">
        <f>1/A3</f>
        <v>8.3333333333333329E-2</v>
      </c>
      <c r="T3" s="101">
        <f>(1+S3)^12-1</f>
        <v>1.6130352902246763</v>
      </c>
    </row>
    <row r="4" spans="1:27" x14ac:dyDescent="0.25">
      <c r="A4" s="99">
        <v>13</v>
      </c>
      <c r="B4" s="100">
        <f t="shared" ref="B4:Q15" si="1">B$2*$A4</f>
        <v>0.65</v>
      </c>
      <c r="C4" s="100">
        <f t="shared" si="1"/>
        <v>0.78</v>
      </c>
      <c r="D4" s="100">
        <f t="shared" si="1"/>
        <v>0.91000000000000014</v>
      </c>
      <c r="E4" s="100">
        <f t="shared" si="1"/>
        <v>1.04</v>
      </c>
      <c r="F4" s="100">
        <f t="shared" si="1"/>
        <v>1.17</v>
      </c>
      <c r="G4" s="100">
        <f t="shared" si="1"/>
        <v>1.3</v>
      </c>
      <c r="H4" s="100">
        <f t="shared" si="1"/>
        <v>1.43</v>
      </c>
      <c r="I4" s="100">
        <f t="shared" si="1"/>
        <v>1.56</v>
      </c>
      <c r="J4" s="100">
        <f t="shared" si="1"/>
        <v>1.69</v>
      </c>
      <c r="K4" s="100">
        <f t="shared" si="1"/>
        <v>1.8200000000000003</v>
      </c>
      <c r="L4" s="100">
        <f t="shared" si="1"/>
        <v>1.95</v>
      </c>
      <c r="M4" s="100">
        <f t="shared" si="1"/>
        <v>2.08</v>
      </c>
      <c r="N4" s="100">
        <f t="shared" si="1"/>
        <v>2.21</v>
      </c>
      <c r="O4" s="100">
        <f t="shared" si="1"/>
        <v>2.34</v>
      </c>
      <c r="P4" s="100">
        <f t="shared" si="1"/>
        <v>2.4700000000000002</v>
      </c>
      <c r="Q4" s="100">
        <f t="shared" si="1"/>
        <v>2.6</v>
      </c>
      <c r="R4" s="33"/>
      <c r="S4" s="101">
        <f t="shared" ref="S4:S15" si="2">1/A4</f>
        <v>7.6923076923076927E-2</v>
      </c>
      <c r="T4" s="101">
        <f t="shared" ref="T4:T15" si="3">(1+S4)^12-1</f>
        <v>1.4334151101796078</v>
      </c>
    </row>
    <row r="5" spans="1:27" x14ac:dyDescent="0.25">
      <c r="A5" s="99">
        <v>14</v>
      </c>
      <c r="B5" s="100">
        <f t="shared" si="1"/>
        <v>0.70000000000000007</v>
      </c>
      <c r="C5" s="100">
        <f t="shared" si="1"/>
        <v>0.84</v>
      </c>
      <c r="D5" s="100">
        <f t="shared" si="1"/>
        <v>0.98000000000000009</v>
      </c>
      <c r="E5" s="100">
        <f t="shared" si="1"/>
        <v>1.1200000000000001</v>
      </c>
      <c r="F5" s="100">
        <f t="shared" si="1"/>
        <v>1.26</v>
      </c>
      <c r="G5" s="100">
        <f t="shared" si="1"/>
        <v>1.4000000000000001</v>
      </c>
      <c r="H5" s="100">
        <f t="shared" si="1"/>
        <v>1.54</v>
      </c>
      <c r="I5" s="100">
        <f t="shared" si="1"/>
        <v>1.68</v>
      </c>
      <c r="J5" s="100">
        <f t="shared" si="1"/>
        <v>1.82</v>
      </c>
      <c r="K5" s="100">
        <f t="shared" si="1"/>
        <v>1.9600000000000002</v>
      </c>
      <c r="L5" s="100">
        <f t="shared" si="1"/>
        <v>2.1</v>
      </c>
      <c r="M5" s="100">
        <f t="shared" si="1"/>
        <v>2.2400000000000002</v>
      </c>
      <c r="N5" s="100">
        <f t="shared" si="1"/>
        <v>2.3800000000000003</v>
      </c>
      <c r="O5" s="100">
        <f t="shared" si="1"/>
        <v>2.52</v>
      </c>
      <c r="P5" s="100">
        <f t="shared" si="1"/>
        <v>2.66</v>
      </c>
      <c r="Q5" s="100">
        <f t="shared" si="1"/>
        <v>2.8000000000000003</v>
      </c>
      <c r="R5" s="33"/>
      <c r="S5" s="101">
        <f t="shared" si="2"/>
        <v>7.1428571428571425E-2</v>
      </c>
      <c r="T5" s="101">
        <f t="shared" si="3"/>
        <v>1.2885409112665336</v>
      </c>
    </row>
    <row r="6" spans="1:27" x14ac:dyDescent="0.25">
      <c r="A6" s="99">
        <v>15</v>
      </c>
      <c r="B6" s="100">
        <f t="shared" si="1"/>
        <v>0.75</v>
      </c>
      <c r="C6" s="100">
        <f t="shared" si="1"/>
        <v>0.89999999999999991</v>
      </c>
      <c r="D6" s="100">
        <f t="shared" si="1"/>
        <v>1.05</v>
      </c>
      <c r="E6" s="100">
        <f t="shared" si="1"/>
        <v>1.2</v>
      </c>
      <c r="F6" s="100">
        <f t="shared" si="1"/>
        <v>1.3499999999999999</v>
      </c>
      <c r="G6" s="100">
        <f t="shared" si="1"/>
        <v>1.5</v>
      </c>
      <c r="H6" s="100">
        <f t="shared" si="1"/>
        <v>1.65</v>
      </c>
      <c r="I6" s="100">
        <f t="shared" si="1"/>
        <v>1.7999999999999998</v>
      </c>
      <c r="J6" s="100">
        <f t="shared" si="1"/>
        <v>1.9500000000000002</v>
      </c>
      <c r="K6" s="100">
        <f t="shared" si="1"/>
        <v>2.1</v>
      </c>
      <c r="L6" s="100">
        <f t="shared" si="1"/>
        <v>2.25</v>
      </c>
      <c r="M6" s="100">
        <f t="shared" si="1"/>
        <v>2.4</v>
      </c>
      <c r="N6" s="100">
        <f t="shared" si="1"/>
        <v>2.5500000000000003</v>
      </c>
      <c r="O6" s="100">
        <f t="shared" si="1"/>
        <v>2.6999999999999997</v>
      </c>
      <c r="P6" s="100">
        <f t="shared" si="1"/>
        <v>2.85</v>
      </c>
      <c r="Q6" s="100">
        <f t="shared" si="1"/>
        <v>3</v>
      </c>
      <c r="R6" s="33"/>
      <c r="S6" s="101">
        <f t="shared" si="2"/>
        <v>6.6666666666666666E-2</v>
      </c>
      <c r="T6" s="101">
        <f t="shared" si="3"/>
        <v>1.1694252129716127</v>
      </c>
    </row>
    <row r="7" spans="1:27" x14ac:dyDescent="0.25">
      <c r="A7" s="99">
        <v>16</v>
      </c>
      <c r="B7" s="100">
        <f t="shared" si="1"/>
        <v>0.8</v>
      </c>
      <c r="C7" s="100">
        <f t="shared" si="1"/>
        <v>0.96</v>
      </c>
      <c r="D7" s="100">
        <f t="shared" si="1"/>
        <v>1.1200000000000001</v>
      </c>
      <c r="E7" s="100">
        <f t="shared" si="1"/>
        <v>1.28</v>
      </c>
      <c r="F7" s="100">
        <f t="shared" si="1"/>
        <v>1.44</v>
      </c>
      <c r="G7" s="100">
        <f t="shared" si="1"/>
        <v>1.6</v>
      </c>
      <c r="H7" s="100">
        <f t="shared" si="1"/>
        <v>1.76</v>
      </c>
      <c r="I7" s="100">
        <f t="shared" si="1"/>
        <v>1.92</v>
      </c>
      <c r="J7" s="100">
        <f t="shared" si="1"/>
        <v>2.08</v>
      </c>
      <c r="K7" s="100">
        <f t="shared" si="1"/>
        <v>2.2400000000000002</v>
      </c>
      <c r="L7" s="100">
        <f t="shared" si="1"/>
        <v>2.4</v>
      </c>
      <c r="M7" s="100">
        <f t="shared" si="1"/>
        <v>2.56</v>
      </c>
      <c r="N7" s="100">
        <f t="shared" si="1"/>
        <v>2.72</v>
      </c>
      <c r="O7" s="100">
        <f t="shared" si="1"/>
        <v>2.88</v>
      </c>
      <c r="P7" s="100">
        <f t="shared" si="1"/>
        <v>3.04</v>
      </c>
      <c r="Q7" s="100">
        <f t="shared" si="1"/>
        <v>3.2</v>
      </c>
      <c r="R7" s="33"/>
      <c r="S7" s="101">
        <f t="shared" si="2"/>
        <v>6.25E-2</v>
      </c>
      <c r="T7" s="101">
        <f t="shared" si="3"/>
        <v>1.0698899917795224</v>
      </c>
    </row>
    <row r="8" spans="1:27" x14ac:dyDescent="0.25">
      <c r="A8" s="99">
        <v>17</v>
      </c>
      <c r="B8" s="100">
        <f t="shared" si="1"/>
        <v>0.85000000000000009</v>
      </c>
      <c r="C8" s="100">
        <f t="shared" si="1"/>
        <v>1.02</v>
      </c>
      <c r="D8" s="100">
        <f t="shared" si="1"/>
        <v>1.1900000000000002</v>
      </c>
      <c r="E8" s="100">
        <f t="shared" si="1"/>
        <v>1.36</v>
      </c>
      <c r="F8" s="100">
        <f t="shared" si="1"/>
        <v>1.53</v>
      </c>
      <c r="G8" s="100">
        <f t="shared" si="1"/>
        <v>1.7000000000000002</v>
      </c>
      <c r="H8" s="100">
        <f t="shared" si="1"/>
        <v>1.87</v>
      </c>
      <c r="I8" s="100">
        <f t="shared" si="1"/>
        <v>2.04</v>
      </c>
      <c r="J8" s="100">
        <f t="shared" si="1"/>
        <v>2.21</v>
      </c>
      <c r="K8" s="100">
        <f t="shared" si="1"/>
        <v>2.3800000000000003</v>
      </c>
      <c r="L8" s="100">
        <f t="shared" si="1"/>
        <v>2.5499999999999998</v>
      </c>
      <c r="M8" s="100">
        <f t="shared" si="1"/>
        <v>2.72</v>
      </c>
      <c r="N8" s="100">
        <f t="shared" si="1"/>
        <v>2.89</v>
      </c>
      <c r="O8" s="100">
        <f t="shared" si="1"/>
        <v>3.06</v>
      </c>
      <c r="P8" s="100">
        <f t="shared" si="1"/>
        <v>3.23</v>
      </c>
      <c r="Q8" s="100">
        <f t="shared" si="1"/>
        <v>3.4000000000000004</v>
      </c>
      <c r="R8" s="33"/>
      <c r="S8" s="101">
        <f t="shared" si="2"/>
        <v>5.8823529411764705E-2</v>
      </c>
      <c r="T8" s="101">
        <f t="shared" si="3"/>
        <v>0.98555995206542812</v>
      </c>
      <c r="W8" s="44"/>
    </row>
    <row r="9" spans="1:27" x14ac:dyDescent="0.25">
      <c r="A9" s="61">
        <v>18</v>
      </c>
      <c r="B9" s="62">
        <f t="shared" si="1"/>
        <v>0.9</v>
      </c>
      <c r="C9" s="62">
        <f t="shared" si="1"/>
        <v>1.08</v>
      </c>
      <c r="D9" s="62">
        <f t="shared" si="1"/>
        <v>1.2600000000000002</v>
      </c>
      <c r="E9" s="62">
        <f t="shared" si="1"/>
        <v>1.44</v>
      </c>
      <c r="F9" s="62">
        <f t="shared" si="1"/>
        <v>1.6199999999999999</v>
      </c>
      <c r="G9" s="88">
        <f t="shared" si="1"/>
        <v>1.8</v>
      </c>
      <c r="H9" s="88">
        <f t="shared" si="1"/>
        <v>1.98</v>
      </c>
      <c r="I9" s="88">
        <f t="shared" si="1"/>
        <v>2.16</v>
      </c>
      <c r="J9" s="88">
        <f t="shared" si="1"/>
        <v>2.34</v>
      </c>
      <c r="K9" s="88">
        <f t="shared" si="1"/>
        <v>2.5200000000000005</v>
      </c>
      <c r="L9" s="88">
        <f t="shared" si="1"/>
        <v>2.6999999999999997</v>
      </c>
      <c r="M9" s="62">
        <f t="shared" si="1"/>
        <v>2.88</v>
      </c>
      <c r="N9" s="62">
        <f t="shared" si="1"/>
        <v>3.06</v>
      </c>
      <c r="O9" s="62">
        <f t="shared" si="1"/>
        <v>3.2399999999999998</v>
      </c>
      <c r="P9" s="62">
        <f t="shared" si="1"/>
        <v>3.42</v>
      </c>
      <c r="Q9" s="62">
        <f t="shared" si="1"/>
        <v>3.6</v>
      </c>
      <c r="R9" s="33"/>
      <c r="S9" s="63">
        <f>1/A9</f>
        <v>5.5555555555555552E-2</v>
      </c>
      <c r="T9" s="63">
        <f>(1+S9)^12-1</f>
        <v>0.91325629180073009</v>
      </c>
    </row>
    <row r="10" spans="1:27" x14ac:dyDescent="0.25">
      <c r="A10" s="61">
        <v>19</v>
      </c>
      <c r="B10" s="62">
        <f t="shared" si="1"/>
        <v>0.95000000000000007</v>
      </c>
      <c r="C10" s="62">
        <f t="shared" si="1"/>
        <v>1.1399999999999999</v>
      </c>
      <c r="D10" s="62">
        <f t="shared" si="1"/>
        <v>1.33</v>
      </c>
      <c r="E10" s="62">
        <f t="shared" si="1"/>
        <v>1.52</v>
      </c>
      <c r="F10" s="62">
        <f t="shared" si="1"/>
        <v>1.71</v>
      </c>
      <c r="G10" s="88">
        <f t="shared" si="1"/>
        <v>1.9000000000000001</v>
      </c>
      <c r="H10" s="88">
        <f t="shared" si="1"/>
        <v>2.09</v>
      </c>
      <c r="I10" s="88">
        <f t="shared" si="1"/>
        <v>2.2799999999999998</v>
      </c>
      <c r="J10" s="88">
        <f t="shared" si="1"/>
        <v>2.4700000000000002</v>
      </c>
      <c r="K10" s="88">
        <f t="shared" si="1"/>
        <v>2.66</v>
      </c>
      <c r="L10" s="88">
        <f t="shared" si="1"/>
        <v>2.85</v>
      </c>
      <c r="M10" s="62">
        <f t="shared" si="1"/>
        <v>3.04</v>
      </c>
      <c r="N10" s="62">
        <f t="shared" si="1"/>
        <v>3.2300000000000004</v>
      </c>
      <c r="O10" s="62">
        <f t="shared" si="1"/>
        <v>3.42</v>
      </c>
      <c r="P10" s="62">
        <f t="shared" si="1"/>
        <v>3.61</v>
      </c>
      <c r="Q10" s="62">
        <f t="shared" si="1"/>
        <v>3.8000000000000003</v>
      </c>
      <c r="R10" s="33"/>
      <c r="S10" s="63">
        <f t="shared" si="2"/>
        <v>5.2631578947368418E-2</v>
      </c>
      <c r="T10" s="63">
        <f t="shared" si="3"/>
        <v>0.85061780622170846</v>
      </c>
    </row>
    <row r="11" spans="1:27" x14ac:dyDescent="0.25">
      <c r="A11" s="61">
        <v>20</v>
      </c>
      <c r="B11" s="62">
        <f t="shared" si="1"/>
        <v>1</v>
      </c>
      <c r="C11" s="62">
        <f t="shared" si="1"/>
        <v>1.2</v>
      </c>
      <c r="D11" s="62">
        <f t="shared" si="1"/>
        <v>1.4000000000000001</v>
      </c>
      <c r="E11" s="62">
        <f t="shared" si="1"/>
        <v>1.6</v>
      </c>
      <c r="F11" s="62">
        <f t="shared" si="1"/>
        <v>1.7999999999999998</v>
      </c>
      <c r="G11" s="88">
        <f t="shared" si="1"/>
        <v>2</v>
      </c>
      <c r="H11" s="88">
        <f t="shared" si="1"/>
        <v>2.2000000000000002</v>
      </c>
      <c r="I11" s="88">
        <f t="shared" si="1"/>
        <v>2.4</v>
      </c>
      <c r="J11" s="88">
        <f t="shared" si="1"/>
        <v>2.6</v>
      </c>
      <c r="K11" s="88">
        <f t="shared" si="1"/>
        <v>2.8000000000000003</v>
      </c>
      <c r="L11" s="88">
        <f t="shared" si="1"/>
        <v>3</v>
      </c>
      <c r="M11" s="62">
        <f t="shared" si="1"/>
        <v>3.2</v>
      </c>
      <c r="N11" s="62">
        <f t="shared" si="1"/>
        <v>3.4000000000000004</v>
      </c>
      <c r="O11" s="62">
        <f t="shared" si="1"/>
        <v>3.5999999999999996</v>
      </c>
      <c r="P11" s="62">
        <f t="shared" si="1"/>
        <v>3.8</v>
      </c>
      <c r="Q11" s="62">
        <f t="shared" si="1"/>
        <v>4</v>
      </c>
      <c r="R11" s="33"/>
      <c r="S11" s="63">
        <f t="shared" si="2"/>
        <v>0.05</v>
      </c>
      <c r="T11" s="63">
        <f t="shared" si="3"/>
        <v>0.79585632602212919</v>
      </c>
      <c r="AA11" s="10"/>
    </row>
    <row r="12" spans="1:27" x14ac:dyDescent="0.25">
      <c r="A12" s="99">
        <v>21</v>
      </c>
      <c r="B12" s="100">
        <f t="shared" si="1"/>
        <v>1.05</v>
      </c>
      <c r="C12" s="100">
        <f t="shared" si="1"/>
        <v>1.26</v>
      </c>
      <c r="D12" s="100">
        <f t="shared" si="1"/>
        <v>1.4700000000000002</v>
      </c>
      <c r="E12" s="100">
        <f t="shared" si="1"/>
        <v>1.68</v>
      </c>
      <c r="F12" s="100">
        <f t="shared" si="1"/>
        <v>1.89</v>
      </c>
      <c r="G12" s="102">
        <f t="shared" si="1"/>
        <v>2.1</v>
      </c>
      <c r="H12" s="102">
        <f t="shared" si="1"/>
        <v>2.31</v>
      </c>
      <c r="I12" s="102">
        <f t="shared" si="1"/>
        <v>2.52</v>
      </c>
      <c r="J12" s="102">
        <f t="shared" si="1"/>
        <v>2.73</v>
      </c>
      <c r="K12" s="102">
        <f t="shared" si="1"/>
        <v>2.9400000000000004</v>
      </c>
      <c r="L12" s="102">
        <f t="shared" si="1"/>
        <v>3.15</v>
      </c>
      <c r="M12" s="100">
        <f t="shared" si="1"/>
        <v>3.36</v>
      </c>
      <c r="N12" s="100">
        <f t="shared" si="1"/>
        <v>3.5700000000000003</v>
      </c>
      <c r="O12" s="100">
        <f t="shared" si="1"/>
        <v>3.78</v>
      </c>
      <c r="P12" s="100">
        <f t="shared" si="1"/>
        <v>3.99</v>
      </c>
      <c r="Q12" s="100">
        <f t="shared" si="1"/>
        <v>4.2</v>
      </c>
      <c r="R12" s="33"/>
      <c r="S12" s="101">
        <f t="shared" si="2"/>
        <v>4.7619047619047616E-2</v>
      </c>
      <c r="T12" s="101">
        <f t="shared" si="3"/>
        <v>0.74759435442851108</v>
      </c>
    </row>
    <row r="13" spans="1:27" x14ac:dyDescent="0.25">
      <c r="A13" s="99">
        <v>22</v>
      </c>
      <c r="B13" s="100">
        <f t="shared" si="1"/>
        <v>1.1000000000000001</v>
      </c>
      <c r="C13" s="100">
        <f t="shared" si="1"/>
        <v>1.3199999999999998</v>
      </c>
      <c r="D13" s="100">
        <f t="shared" si="1"/>
        <v>1.54</v>
      </c>
      <c r="E13" s="100">
        <f t="shared" si="1"/>
        <v>1.76</v>
      </c>
      <c r="F13" s="100">
        <f t="shared" si="1"/>
        <v>1.98</v>
      </c>
      <c r="G13" s="102">
        <f t="shared" si="1"/>
        <v>2.2000000000000002</v>
      </c>
      <c r="H13" s="102">
        <f t="shared" si="1"/>
        <v>2.42</v>
      </c>
      <c r="I13" s="102">
        <f t="shared" si="1"/>
        <v>2.6399999999999997</v>
      </c>
      <c r="J13" s="102">
        <f t="shared" si="1"/>
        <v>2.8600000000000003</v>
      </c>
      <c r="K13" s="102">
        <f t="shared" si="1"/>
        <v>3.08</v>
      </c>
      <c r="L13" s="102">
        <f t="shared" si="1"/>
        <v>3.3</v>
      </c>
      <c r="M13" s="100">
        <f t="shared" si="1"/>
        <v>3.52</v>
      </c>
      <c r="N13" s="100">
        <f t="shared" si="1"/>
        <v>3.74</v>
      </c>
      <c r="O13" s="100">
        <f t="shared" si="1"/>
        <v>3.96</v>
      </c>
      <c r="P13" s="100">
        <f t="shared" si="1"/>
        <v>4.18</v>
      </c>
      <c r="Q13" s="100">
        <f t="shared" si="1"/>
        <v>4.4000000000000004</v>
      </c>
      <c r="R13" s="33"/>
      <c r="S13" s="101">
        <f t="shared" si="2"/>
        <v>4.5454545454545456E-2</v>
      </c>
      <c r="T13" s="101">
        <f t="shared" si="3"/>
        <v>0.70475456606200981</v>
      </c>
    </row>
    <row r="14" spans="1:27" x14ac:dyDescent="0.25">
      <c r="A14" s="99">
        <v>23</v>
      </c>
      <c r="B14" s="100">
        <f t="shared" si="1"/>
        <v>1.1500000000000001</v>
      </c>
      <c r="C14" s="100">
        <f t="shared" si="1"/>
        <v>1.38</v>
      </c>
      <c r="D14" s="100">
        <f t="shared" si="1"/>
        <v>1.61</v>
      </c>
      <c r="E14" s="100">
        <f t="shared" si="1"/>
        <v>1.84</v>
      </c>
      <c r="F14" s="100">
        <f t="shared" si="1"/>
        <v>2.0699999999999998</v>
      </c>
      <c r="G14" s="102">
        <f t="shared" si="1"/>
        <v>2.3000000000000003</v>
      </c>
      <c r="H14" s="102">
        <f t="shared" si="1"/>
        <v>2.5299999999999998</v>
      </c>
      <c r="I14" s="102">
        <f t="shared" si="1"/>
        <v>2.76</v>
      </c>
      <c r="J14" s="102">
        <f t="shared" si="1"/>
        <v>2.99</v>
      </c>
      <c r="K14" s="102">
        <f t="shared" si="1"/>
        <v>3.22</v>
      </c>
      <c r="L14" s="102">
        <f t="shared" si="1"/>
        <v>3.4499999999999997</v>
      </c>
      <c r="M14" s="100">
        <f t="shared" si="1"/>
        <v>3.68</v>
      </c>
      <c r="N14" s="100">
        <f t="shared" si="1"/>
        <v>3.91</v>
      </c>
      <c r="O14" s="100">
        <f t="shared" si="1"/>
        <v>4.1399999999999997</v>
      </c>
      <c r="P14" s="100">
        <f t="shared" si="1"/>
        <v>4.37</v>
      </c>
      <c r="Q14" s="100">
        <f t="shared" si="1"/>
        <v>4.6000000000000005</v>
      </c>
      <c r="R14" s="33"/>
      <c r="S14" s="101">
        <f t="shared" si="2"/>
        <v>4.3478260869565216E-2</v>
      </c>
      <c r="T14" s="101">
        <f t="shared" si="3"/>
        <v>0.66648292556158295</v>
      </c>
    </row>
    <row r="15" spans="1:27" x14ac:dyDescent="0.25">
      <c r="A15" s="99">
        <v>24</v>
      </c>
      <c r="B15" s="100">
        <f t="shared" si="1"/>
        <v>1.2000000000000002</v>
      </c>
      <c r="C15" s="100">
        <f t="shared" si="1"/>
        <v>1.44</v>
      </c>
      <c r="D15" s="100">
        <f t="shared" si="1"/>
        <v>1.6800000000000002</v>
      </c>
      <c r="E15" s="100">
        <f t="shared" si="1"/>
        <v>1.92</v>
      </c>
      <c r="F15" s="100">
        <f t="shared" si="1"/>
        <v>2.16</v>
      </c>
      <c r="G15" s="102">
        <f t="shared" si="1"/>
        <v>2.4000000000000004</v>
      </c>
      <c r="H15" s="102">
        <f t="shared" si="1"/>
        <v>2.64</v>
      </c>
      <c r="I15" s="102">
        <f t="shared" si="1"/>
        <v>2.88</v>
      </c>
      <c r="J15" s="102">
        <f t="shared" si="1"/>
        <v>3.12</v>
      </c>
      <c r="K15" s="102">
        <f t="shared" si="1"/>
        <v>3.3600000000000003</v>
      </c>
      <c r="L15" s="102">
        <f t="shared" si="1"/>
        <v>3.5999999999999996</v>
      </c>
      <c r="M15" s="100">
        <f t="shared" si="1"/>
        <v>3.84</v>
      </c>
      <c r="N15" s="100">
        <f t="shared" si="1"/>
        <v>4.08</v>
      </c>
      <c r="O15" s="100">
        <f t="shared" si="1"/>
        <v>4.32</v>
      </c>
      <c r="P15" s="100">
        <f t="shared" si="1"/>
        <v>4.5600000000000005</v>
      </c>
      <c r="Q15" s="100">
        <f t="shared" si="1"/>
        <v>4.8000000000000007</v>
      </c>
      <c r="R15" s="33"/>
      <c r="S15" s="101">
        <f t="shared" si="2"/>
        <v>4.1666666666666664E-2</v>
      </c>
      <c r="T15" s="101">
        <f t="shared" si="3"/>
        <v>0.63209413272292592</v>
      </c>
    </row>
    <row r="20" spans="23:24" x14ac:dyDescent="0.25">
      <c r="W20" s="44"/>
    </row>
    <row r="28" spans="23:24" x14ac:dyDescent="0.25">
      <c r="X28" s="9"/>
    </row>
    <row r="29" spans="23:24" x14ac:dyDescent="0.25">
      <c r="X29" s="10"/>
    </row>
    <row r="30" spans="23:24" x14ac:dyDescent="0.25">
      <c r="X30" s="10"/>
    </row>
    <row r="31" spans="23:24" x14ac:dyDescent="0.25">
      <c r="X31" s="10"/>
    </row>
    <row r="32" spans="23:24" x14ac:dyDescent="0.25">
      <c r="X32" s="10"/>
    </row>
  </sheetData>
  <mergeCells count="2">
    <mergeCell ref="A1:Q1"/>
    <mergeCell ref="S1:T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995"/>
  <sheetViews>
    <sheetView topLeftCell="C1" zoomScale="160" zoomScaleNormal="160" workbookViewId="0">
      <selection activeCell="P14" sqref="P14"/>
    </sheetView>
  </sheetViews>
  <sheetFormatPr defaultColWidth="14.42578125" defaultRowHeight="15" customHeight="1" x14ac:dyDescent="0.25"/>
  <cols>
    <col min="1" max="1" width="8.7109375" customWidth="1"/>
    <col min="2" max="2" width="37.28515625" customWidth="1"/>
    <col min="3" max="3" width="12.42578125" style="45" customWidth="1"/>
    <col min="4" max="7" width="13.85546875" customWidth="1"/>
    <col min="8" max="8" width="12.28515625" customWidth="1"/>
    <col min="9" max="9" width="8.7109375" customWidth="1"/>
    <col min="10" max="10" width="39.85546875" bestFit="1" customWidth="1"/>
    <col min="11" max="11" width="14.5703125" bestFit="1" customWidth="1"/>
    <col min="12" max="12" width="11.7109375" bestFit="1" customWidth="1"/>
    <col min="13" max="13" width="33.85546875" bestFit="1" customWidth="1"/>
    <col min="14" max="14" width="8.7109375" customWidth="1"/>
    <col min="15" max="15" width="36.7109375" customWidth="1"/>
    <col min="16" max="16" width="18.42578125" style="37" customWidth="1"/>
    <col min="17" max="17" width="45.140625" style="58" customWidth="1"/>
    <col min="18" max="26" width="8.7109375" customWidth="1"/>
  </cols>
  <sheetData>
    <row r="1" spans="2:17" x14ac:dyDescent="0.25">
      <c r="B1" s="27" t="s">
        <v>7</v>
      </c>
      <c r="C1" s="71">
        <v>2025</v>
      </c>
      <c r="D1" s="27">
        <v>2026</v>
      </c>
      <c r="E1" s="27">
        <v>2027</v>
      </c>
      <c r="F1" s="27">
        <v>2028</v>
      </c>
      <c r="G1" s="27">
        <v>2029</v>
      </c>
      <c r="H1" s="27">
        <v>2030</v>
      </c>
    </row>
    <row r="2" spans="2:17" x14ac:dyDescent="0.25">
      <c r="B2" s="14" t="s">
        <v>8</v>
      </c>
      <c r="C2" s="14"/>
      <c r="D2" s="21">
        <v>0.02</v>
      </c>
      <c r="E2" s="21">
        <v>0.02</v>
      </c>
      <c r="F2" s="21">
        <v>0.02</v>
      </c>
      <c r="G2" s="21">
        <v>0.02</v>
      </c>
      <c r="H2" s="21">
        <v>0.02</v>
      </c>
    </row>
    <row r="3" spans="2:17" ht="15" customHeight="1" x14ac:dyDescent="0.25">
      <c r="B3" s="20" t="s">
        <v>12</v>
      </c>
      <c r="C3" s="72">
        <v>0.1042</v>
      </c>
      <c r="D3" s="72">
        <v>0.1045</v>
      </c>
      <c r="E3" s="72">
        <v>0.1047</v>
      </c>
      <c r="F3" s="72">
        <v>0.1048</v>
      </c>
      <c r="G3" s="72">
        <v>0.105</v>
      </c>
      <c r="H3" s="72">
        <v>0.105</v>
      </c>
      <c r="J3" s="17" t="s">
        <v>15</v>
      </c>
      <c r="K3" s="35">
        <v>200000</v>
      </c>
      <c r="M3" s="27" t="s">
        <v>41</v>
      </c>
      <c r="N3" s="27" t="s">
        <v>42</v>
      </c>
      <c r="O3" s="27" t="s">
        <v>43</v>
      </c>
      <c r="P3" s="27" t="s">
        <v>44</v>
      </c>
      <c r="Q3" s="58" t="s">
        <v>36</v>
      </c>
    </row>
    <row r="4" spans="2:17" ht="15" customHeight="1" x14ac:dyDescent="0.25">
      <c r="B4" s="28"/>
      <c r="C4" s="28"/>
      <c r="D4" s="29"/>
      <c r="E4" s="29"/>
      <c r="F4" s="29"/>
      <c r="G4" s="29"/>
      <c r="H4" s="29"/>
      <c r="J4" s="17" t="s">
        <v>16</v>
      </c>
      <c r="K4" s="35"/>
      <c r="M4" s="17" t="s">
        <v>28</v>
      </c>
      <c r="N4" s="42">
        <v>1.18</v>
      </c>
      <c r="O4" s="52" t="s">
        <v>51</v>
      </c>
      <c r="P4" s="52" t="s">
        <v>54</v>
      </c>
      <c r="Q4" s="58" t="s">
        <v>25</v>
      </c>
    </row>
    <row r="5" spans="2:17" x14ac:dyDescent="0.25">
      <c r="B5" s="27" t="s">
        <v>32</v>
      </c>
      <c r="C5" s="71">
        <v>2025</v>
      </c>
      <c r="D5" s="27">
        <v>2026</v>
      </c>
      <c r="E5" s="27">
        <v>2027</v>
      </c>
      <c r="F5" s="27">
        <v>2028</v>
      </c>
      <c r="G5" s="27">
        <v>2029</v>
      </c>
      <c r="H5" s="27">
        <v>2030</v>
      </c>
      <c r="J5" s="17" t="s">
        <v>18</v>
      </c>
      <c r="K5" s="31">
        <f>+K3/(K3+K4)</f>
        <v>1</v>
      </c>
      <c r="M5" s="38" t="s">
        <v>40</v>
      </c>
      <c r="N5" s="36">
        <v>0.15</v>
      </c>
      <c r="O5" s="52" t="s">
        <v>52</v>
      </c>
      <c r="P5" s="38" t="s">
        <v>37</v>
      </c>
      <c r="Q5" s="58" t="s">
        <v>23</v>
      </c>
    </row>
    <row r="6" spans="2:17" x14ac:dyDescent="0.25">
      <c r="B6" s="14" t="s">
        <v>0</v>
      </c>
      <c r="C6" s="11">
        <v>1200000</v>
      </c>
      <c r="D6" s="11">
        <f>C6*(100%+D2)</f>
        <v>1224000</v>
      </c>
      <c r="E6" s="11">
        <f>D6*(100%+E2)</f>
        <v>1248480</v>
      </c>
      <c r="F6" s="11">
        <f t="shared" ref="F6:H6" si="0">E6*(100%+F2)</f>
        <v>1273449.6000000001</v>
      </c>
      <c r="G6" s="11">
        <f t="shared" si="0"/>
        <v>1298918.5920000002</v>
      </c>
      <c r="H6" s="11">
        <f t="shared" si="0"/>
        <v>1324896.9638400001</v>
      </c>
      <c r="J6" s="17" t="s">
        <v>19</v>
      </c>
      <c r="K6" s="31">
        <f>+K4/(K3+K4)</f>
        <v>0</v>
      </c>
      <c r="M6" s="17" t="s">
        <v>26</v>
      </c>
      <c r="N6" s="36">
        <v>0.17460000000000001</v>
      </c>
      <c r="O6" s="52" t="s">
        <v>50</v>
      </c>
      <c r="P6" s="38" t="s">
        <v>38</v>
      </c>
      <c r="Q6" s="59" t="s">
        <v>27</v>
      </c>
    </row>
    <row r="7" spans="2:17" x14ac:dyDescent="0.25">
      <c r="B7" s="15" t="s">
        <v>1</v>
      </c>
      <c r="C7" s="12">
        <f>-C6*C3</f>
        <v>-125040</v>
      </c>
      <c r="D7" s="12">
        <f>-D6*D3</f>
        <v>-127908</v>
      </c>
      <c r="E7" s="12">
        <f t="shared" ref="E7" si="1">-E6*E3</f>
        <v>-130715.856</v>
      </c>
      <c r="F7" s="12">
        <f t="shared" ref="F7" si="2">-F6*F3</f>
        <v>-133457.51808000001</v>
      </c>
      <c r="G7" s="12">
        <f t="shared" ref="G7" si="3">-G6*G3</f>
        <v>-136386.45216000002</v>
      </c>
      <c r="H7" s="12">
        <f t="shared" ref="H7" si="4">-H6*H3</f>
        <v>-139114.18120320002</v>
      </c>
      <c r="J7" s="17" t="s">
        <v>13</v>
      </c>
      <c r="K7" s="32">
        <f>N5+(N4*N7)+N8+N9</f>
        <v>0.42302800000000002</v>
      </c>
      <c r="M7" s="17" t="s">
        <v>20</v>
      </c>
      <c r="N7" s="36">
        <f>N6-N5</f>
        <v>2.4600000000000011E-2</v>
      </c>
      <c r="O7" s="96" t="s">
        <v>39</v>
      </c>
      <c r="P7" s="96"/>
    </row>
    <row r="8" spans="2:17" x14ac:dyDescent="0.25">
      <c r="B8" s="15" t="s">
        <v>2</v>
      </c>
      <c r="C8" s="12">
        <f>-C6*40%</f>
        <v>-480000</v>
      </c>
      <c r="D8" s="12">
        <f>-D6*40%</f>
        <v>-489600</v>
      </c>
      <c r="E8" s="12">
        <f t="shared" ref="E8:H8" si="5">-E6*40%</f>
        <v>-499392</v>
      </c>
      <c r="F8" s="12">
        <f t="shared" si="5"/>
        <v>-509379.84000000008</v>
      </c>
      <c r="G8" s="12">
        <f t="shared" si="5"/>
        <v>-519567.43680000008</v>
      </c>
      <c r="H8" s="12">
        <f t="shared" si="5"/>
        <v>-529958.78553600004</v>
      </c>
      <c r="J8" s="17" t="s">
        <v>14</v>
      </c>
      <c r="K8" s="32">
        <v>0</v>
      </c>
      <c r="M8" s="17" t="s">
        <v>21</v>
      </c>
      <c r="N8" s="43">
        <v>0.2</v>
      </c>
      <c r="O8" s="95" t="s">
        <v>55</v>
      </c>
      <c r="P8" s="95"/>
      <c r="Q8" s="58" t="s">
        <v>31</v>
      </c>
    </row>
    <row r="9" spans="2:17" ht="15.75" thickBot="1" x14ac:dyDescent="0.3">
      <c r="B9" s="25" t="s">
        <v>3</v>
      </c>
      <c r="C9" s="26">
        <f>-C6*3%</f>
        <v>-36000</v>
      </c>
      <c r="D9" s="26">
        <f>-D6*3%</f>
        <v>-36720</v>
      </c>
      <c r="E9" s="26">
        <f t="shared" ref="E9:H9" si="6">-E6*3%</f>
        <v>-37454.400000000001</v>
      </c>
      <c r="F9" s="26">
        <f t="shared" si="6"/>
        <v>-38203.488000000005</v>
      </c>
      <c r="G9" s="26">
        <f t="shared" si="6"/>
        <v>-38967.557760000003</v>
      </c>
      <c r="H9" s="26">
        <f t="shared" si="6"/>
        <v>-39746.908915200002</v>
      </c>
      <c r="J9" s="20" t="s">
        <v>17</v>
      </c>
      <c r="K9" s="41">
        <f>+(K5*K7)+(K6*K8)</f>
        <v>0.42302800000000002</v>
      </c>
      <c r="M9" s="17" t="s">
        <v>22</v>
      </c>
      <c r="N9" s="36">
        <v>4.3999999999999997E-2</v>
      </c>
      <c r="O9" s="19"/>
      <c r="P9" s="52" t="s">
        <v>54</v>
      </c>
      <c r="Q9" s="58" t="s">
        <v>24</v>
      </c>
    </row>
    <row r="10" spans="2:17" x14ac:dyDescent="0.25">
      <c r="B10" s="47" t="s">
        <v>4</v>
      </c>
      <c r="C10" s="48">
        <f>+C6+SUM(C7:C9)</f>
        <v>558960</v>
      </c>
      <c r="D10" s="48">
        <f>+D6+SUM(D7:D9)</f>
        <v>569772</v>
      </c>
      <c r="E10" s="48">
        <f>+E6+SUM(E7:E9)</f>
        <v>580917.74399999995</v>
      </c>
      <c r="F10" s="48">
        <f t="shared" ref="F10:H10" si="7">+F6+SUM(F7:F9)</f>
        <v>592408.75391999993</v>
      </c>
      <c r="G10" s="48">
        <f t="shared" si="7"/>
        <v>603997.14528000006</v>
      </c>
      <c r="H10" s="48">
        <f t="shared" si="7"/>
        <v>616077.08818560001</v>
      </c>
    </row>
    <row r="11" spans="2:17" s="45" customFormat="1" x14ac:dyDescent="0.25">
      <c r="B11" s="16" t="s">
        <v>5</v>
      </c>
      <c r="C11" s="12">
        <f>-C6*35%</f>
        <v>-420000</v>
      </c>
      <c r="D11" s="12">
        <f>-D6*35%</f>
        <v>-428400</v>
      </c>
      <c r="E11" s="12">
        <f t="shared" ref="E11:H11" si="8">-E6*35%</f>
        <v>-436968</v>
      </c>
      <c r="F11" s="12">
        <f t="shared" si="8"/>
        <v>-445707.36</v>
      </c>
      <c r="G11" s="12">
        <f t="shared" si="8"/>
        <v>-454621.50720000005</v>
      </c>
      <c r="H11" s="12">
        <f t="shared" si="8"/>
        <v>-463713.93734399998</v>
      </c>
      <c r="Q11" s="58"/>
    </row>
    <row r="12" spans="2:17" ht="15.75" thickBot="1" x14ac:dyDescent="0.3">
      <c r="B12" s="49" t="s">
        <v>6</v>
      </c>
      <c r="C12" s="50">
        <v>-2000</v>
      </c>
      <c r="D12" s="50">
        <v>-2000</v>
      </c>
      <c r="E12" s="50">
        <v>-2000</v>
      </c>
      <c r="F12" s="50">
        <v>-2000</v>
      </c>
      <c r="G12" s="50">
        <v>-2000</v>
      </c>
      <c r="H12" s="50">
        <v>-2000</v>
      </c>
    </row>
    <row r="13" spans="2:17" x14ac:dyDescent="0.25">
      <c r="B13" s="23" t="s">
        <v>45</v>
      </c>
      <c r="C13" s="24">
        <f>+C10+C12+C11</f>
        <v>136960</v>
      </c>
      <c r="D13" s="24">
        <f>+D10+D12+D11</f>
        <v>139372</v>
      </c>
      <c r="E13" s="24">
        <f t="shared" ref="E13:H13" si="9">+E10+E12+E11</f>
        <v>141949.74399999995</v>
      </c>
      <c r="F13" s="24">
        <f t="shared" si="9"/>
        <v>144701.39391999994</v>
      </c>
      <c r="G13" s="24">
        <f t="shared" si="9"/>
        <v>147375.63808</v>
      </c>
      <c r="H13" s="24">
        <f t="shared" si="9"/>
        <v>150363.15084160003</v>
      </c>
      <c r="J13" s="2"/>
    </row>
    <row r="14" spans="2:17" x14ac:dyDescent="0.25">
      <c r="B14" s="18" t="s">
        <v>48</v>
      </c>
      <c r="C14" s="13">
        <f t="shared" ref="C14:H14" si="10">C13/C6</f>
        <v>0.11413333333333334</v>
      </c>
      <c r="D14" s="13">
        <f t="shared" si="10"/>
        <v>0.11386601307189542</v>
      </c>
      <c r="E14" s="13">
        <f t="shared" si="10"/>
        <v>0.11369805203126998</v>
      </c>
      <c r="F14" s="13">
        <f t="shared" si="10"/>
        <v>0.11362946277575488</v>
      </c>
      <c r="G14" s="13">
        <f t="shared" si="10"/>
        <v>0.11346025762328914</v>
      </c>
      <c r="H14" s="13">
        <f t="shared" si="10"/>
        <v>0.11349044865028349</v>
      </c>
    </row>
    <row r="15" spans="2:17" x14ac:dyDescent="0.25">
      <c r="B15" s="46" t="s">
        <v>46</v>
      </c>
      <c r="C15" s="12">
        <f>C12*-1</f>
        <v>2000</v>
      </c>
      <c r="D15" s="12">
        <f>D12*-1</f>
        <v>2000</v>
      </c>
      <c r="E15" s="12">
        <f t="shared" ref="E15:H15" si="11">E12*-1</f>
        <v>2000</v>
      </c>
      <c r="F15" s="12">
        <f t="shared" si="11"/>
        <v>2000</v>
      </c>
      <c r="G15" s="12">
        <f t="shared" si="11"/>
        <v>2000</v>
      </c>
      <c r="H15" s="12">
        <f t="shared" si="11"/>
        <v>2000</v>
      </c>
    </row>
    <row r="16" spans="2:17" ht="15.75" customHeight="1" x14ac:dyDescent="0.25">
      <c r="B16" s="23" t="s">
        <v>47</v>
      </c>
      <c r="C16" s="24">
        <f t="shared" ref="C16:H16" si="12">C13+C15</f>
        <v>138960</v>
      </c>
      <c r="D16" s="24">
        <f t="shared" si="12"/>
        <v>141372</v>
      </c>
      <c r="E16" s="24">
        <f t="shared" si="12"/>
        <v>143949.74399999995</v>
      </c>
      <c r="F16" s="24">
        <f t="shared" si="12"/>
        <v>146701.39391999994</v>
      </c>
      <c r="G16" s="24">
        <f t="shared" si="12"/>
        <v>149375.63808</v>
      </c>
      <c r="H16" s="24">
        <f t="shared" si="12"/>
        <v>152363.15084160003</v>
      </c>
      <c r="J16" s="89"/>
    </row>
    <row r="17" spans="2:12" ht="15.75" customHeight="1" x14ac:dyDescent="0.25">
      <c r="B17" s="18" t="s">
        <v>49</v>
      </c>
      <c r="C17" s="13">
        <f t="shared" ref="C17:H17" si="13">C16/C6</f>
        <v>0.1158</v>
      </c>
      <c r="D17" s="13">
        <f t="shared" si="13"/>
        <v>0.11550000000000001</v>
      </c>
      <c r="E17" s="13">
        <f t="shared" si="13"/>
        <v>0.11529999999999996</v>
      </c>
      <c r="F17" s="13">
        <f t="shared" si="13"/>
        <v>0.11519999999999994</v>
      </c>
      <c r="G17" s="13">
        <f t="shared" si="13"/>
        <v>0.11499999999999999</v>
      </c>
      <c r="H17" s="13">
        <f t="shared" si="13"/>
        <v>0.11500000000000002</v>
      </c>
    </row>
    <row r="18" spans="2:12" ht="15.75" customHeight="1" x14ac:dyDescent="0.25">
      <c r="B18" s="28"/>
      <c r="C18" s="28"/>
      <c r="D18" s="28"/>
      <c r="E18" s="28"/>
      <c r="F18" s="28"/>
      <c r="G18" s="28"/>
      <c r="H18" s="28"/>
      <c r="J18" s="53"/>
      <c r="K18" s="7"/>
    </row>
    <row r="19" spans="2:12" ht="15.75" customHeight="1" x14ac:dyDescent="0.25">
      <c r="B19" s="22" t="s">
        <v>29</v>
      </c>
      <c r="C19" s="22"/>
      <c r="D19" s="11">
        <f>D16/(1+$C$23)^1</f>
        <v>99345.901837490193</v>
      </c>
      <c r="E19" s="11">
        <f>E16/(1+$C$23)^2</f>
        <v>71085.988320593591</v>
      </c>
      <c r="F19" s="11">
        <f>F16/(1+$C$23)^3</f>
        <v>50908.922352079229</v>
      </c>
      <c r="G19" s="11">
        <f>G16/(1+$C$23)^4</f>
        <v>36427.216880100532</v>
      </c>
      <c r="H19" s="11">
        <f>H16/(1+$C$23)^5</f>
        <v>26110.351460197937</v>
      </c>
      <c r="J19" s="53"/>
      <c r="K19" s="7"/>
    </row>
    <row r="20" spans="2:12" ht="15.75" customHeight="1" x14ac:dyDescent="0.25">
      <c r="B20" s="22" t="s">
        <v>30</v>
      </c>
      <c r="C20" s="11">
        <f>SUM(D19:H19)</f>
        <v>283878.38085046149</v>
      </c>
      <c r="E20" s="28"/>
      <c r="F20" s="28"/>
      <c r="G20" s="28"/>
      <c r="H20" s="28"/>
    </row>
    <row r="21" spans="2:12" ht="15.75" customHeight="1" x14ac:dyDescent="0.25"/>
    <row r="22" spans="2:12" ht="15.75" customHeight="1" x14ac:dyDescent="0.25">
      <c r="J22" s="54"/>
      <c r="K22" s="7"/>
    </row>
    <row r="23" spans="2:12" ht="15.75" customHeight="1" x14ac:dyDescent="0.25">
      <c r="B23" s="20" t="s">
        <v>17</v>
      </c>
      <c r="C23" s="60">
        <f>K9</f>
        <v>0.42302800000000002</v>
      </c>
      <c r="E23" s="1"/>
    </row>
    <row r="24" spans="2:12" ht="15.75" customHeight="1" x14ac:dyDescent="0.25">
      <c r="B24" s="4"/>
      <c r="C24" s="4"/>
      <c r="E24" s="2"/>
      <c r="F24" s="1"/>
    </row>
    <row r="25" spans="2:12" ht="15.75" customHeight="1" x14ac:dyDescent="0.25">
      <c r="J25" s="53"/>
      <c r="K25" s="44"/>
    </row>
    <row r="26" spans="2:12" ht="15.75" customHeight="1" x14ac:dyDescent="0.25">
      <c r="H26" s="45"/>
      <c r="I26" s="45"/>
      <c r="J26" s="53"/>
      <c r="K26" s="44"/>
      <c r="L26" s="6"/>
    </row>
    <row r="27" spans="2:12" ht="15.75" customHeight="1" x14ac:dyDescent="0.25">
      <c r="H27" s="45"/>
      <c r="I27" s="45"/>
      <c r="L27" s="37"/>
    </row>
    <row r="28" spans="2:12" ht="15.75" customHeight="1" x14ac:dyDescent="0.25">
      <c r="H28" s="45"/>
      <c r="I28" s="45"/>
      <c r="K28" s="56"/>
      <c r="L28" s="37"/>
    </row>
    <row r="29" spans="2:12" ht="15.75" customHeight="1" x14ac:dyDescent="0.25">
      <c r="F29" s="3"/>
      <c r="H29" s="45"/>
      <c r="I29" s="45"/>
      <c r="K29" s="56"/>
      <c r="L29" s="45"/>
    </row>
    <row r="30" spans="2:12" ht="15.75" customHeight="1" x14ac:dyDescent="0.25">
      <c r="H30" s="45"/>
      <c r="I30" s="45"/>
      <c r="K30" s="56"/>
      <c r="L30" s="45"/>
    </row>
    <row r="31" spans="2:12" ht="15.75" customHeight="1" x14ac:dyDescent="0.25">
      <c r="H31" s="45"/>
      <c r="I31" s="45"/>
      <c r="L31" s="37"/>
    </row>
    <row r="32" spans="2:12" ht="15.75" customHeight="1" x14ac:dyDescent="0.25">
      <c r="B32" s="27" t="s">
        <v>66</v>
      </c>
      <c r="C32" s="27" t="s">
        <v>63</v>
      </c>
      <c r="H32" s="45"/>
      <c r="I32" s="45"/>
      <c r="L32" s="37"/>
    </row>
    <row r="33" spans="2:12" ht="15.75" customHeight="1" x14ac:dyDescent="0.25">
      <c r="B33" s="35">
        <f>C6/12</f>
        <v>100000</v>
      </c>
      <c r="C33" s="36">
        <f>C14</f>
        <v>0.11413333333333334</v>
      </c>
      <c r="D33" s="5">
        <f>B33*C33</f>
        <v>11413.333333333334</v>
      </c>
      <c r="H33" s="45"/>
      <c r="I33" s="45"/>
    </row>
    <row r="34" spans="2:12" ht="15.75" customHeight="1" x14ac:dyDescent="0.25">
      <c r="C34"/>
      <c r="H34" s="45"/>
      <c r="I34" s="45"/>
    </row>
    <row r="35" spans="2:12" ht="15.75" customHeight="1" x14ac:dyDescent="0.25">
      <c r="B35" s="27" t="s">
        <v>35</v>
      </c>
      <c r="C35" s="27" t="s">
        <v>64</v>
      </c>
      <c r="D35" s="27" t="s">
        <v>65</v>
      </c>
      <c r="J35" s="53"/>
      <c r="K35" s="44"/>
    </row>
    <row r="36" spans="2:12" ht="15.75" customHeight="1" x14ac:dyDescent="0.25">
      <c r="B36" s="8">
        <v>18</v>
      </c>
      <c r="C36" s="34">
        <f>$C$33*B36</f>
        <v>2.0544000000000002</v>
      </c>
      <c r="D36" s="79">
        <f t="shared" ref="D36:D42" si="14">$B$33*C36</f>
        <v>205440.00000000003</v>
      </c>
      <c r="J36" s="57"/>
      <c r="K36" s="44"/>
      <c r="L36" s="6"/>
    </row>
    <row r="37" spans="2:12" ht="15.75" customHeight="1" x14ac:dyDescent="0.25">
      <c r="B37" s="8">
        <v>19</v>
      </c>
      <c r="C37" s="34">
        <f>$C$33*B37</f>
        <v>2.1685333333333334</v>
      </c>
      <c r="D37" s="35">
        <f t="shared" si="14"/>
        <v>216853.33333333334</v>
      </c>
    </row>
    <row r="38" spans="2:12" ht="15.75" customHeight="1" x14ac:dyDescent="0.25">
      <c r="B38" s="8">
        <v>20</v>
      </c>
      <c r="C38" s="34">
        <f t="shared" ref="C38:C42" si="15">$C$33*B38</f>
        <v>2.2826666666666666</v>
      </c>
      <c r="D38" s="35">
        <f t="shared" si="14"/>
        <v>228266.66666666666</v>
      </c>
    </row>
    <row r="39" spans="2:12" ht="15.75" customHeight="1" x14ac:dyDescent="0.25">
      <c r="B39" s="8">
        <v>21</v>
      </c>
      <c r="C39" s="34">
        <f>$C$33*B39</f>
        <v>2.3968000000000003</v>
      </c>
      <c r="D39" s="35">
        <f t="shared" si="14"/>
        <v>239680.00000000003</v>
      </c>
    </row>
    <row r="40" spans="2:12" ht="15.75" customHeight="1" x14ac:dyDescent="0.25">
      <c r="B40" s="8">
        <v>22</v>
      </c>
      <c r="C40" s="34">
        <f>$C$33*B40</f>
        <v>2.5109333333333335</v>
      </c>
      <c r="D40" s="35">
        <f t="shared" si="14"/>
        <v>251093.33333333334</v>
      </c>
      <c r="J40" s="57"/>
      <c r="K40" s="7"/>
    </row>
    <row r="41" spans="2:12" ht="15.75" customHeight="1" x14ac:dyDescent="0.25">
      <c r="B41" s="8">
        <v>23</v>
      </c>
      <c r="C41" s="34">
        <f t="shared" si="15"/>
        <v>2.6250666666666667</v>
      </c>
      <c r="D41" s="35">
        <f t="shared" si="14"/>
        <v>262506.66666666669</v>
      </c>
      <c r="J41" s="53"/>
      <c r="K41" s="7"/>
      <c r="L41" s="55"/>
    </row>
    <row r="42" spans="2:12" ht="15.75" customHeight="1" x14ac:dyDescent="0.25">
      <c r="B42" s="8">
        <v>24</v>
      </c>
      <c r="C42" s="34">
        <f t="shared" si="15"/>
        <v>2.7392000000000003</v>
      </c>
      <c r="D42" s="79">
        <f t="shared" si="14"/>
        <v>273920.00000000006</v>
      </c>
      <c r="J42" s="57"/>
      <c r="K42" s="7"/>
      <c r="L42" s="55"/>
    </row>
    <row r="43" spans="2:12" ht="15.75" customHeight="1" x14ac:dyDescent="0.25">
      <c r="C43" s="3"/>
    </row>
    <row r="44" spans="2:12" ht="15.75" customHeight="1" x14ac:dyDescent="0.25">
      <c r="B44" s="91">
        <f>D44/D33</f>
        <v>24.872521686664264</v>
      </c>
      <c r="C44" s="54">
        <f>B44*C33</f>
        <v>2.8387838085046146</v>
      </c>
      <c r="D44" s="90">
        <f>C20</f>
        <v>283878.38085046149</v>
      </c>
      <c r="E44" s="64"/>
      <c r="K44" s="54"/>
    </row>
    <row r="45" spans="2:12" ht="15.75" customHeight="1" x14ac:dyDescent="0.25">
      <c r="B45" s="45"/>
      <c r="D45" s="45"/>
      <c r="K45" s="7"/>
    </row>
    <row r="46" spans="2:12" ht="15.75" customHeight="1" x14ac:dyDescent="0.25"/>
    <row r="47" spans="2:12" ht="15.75" customHeight="1" x14ac:dyDescent="0.25"/>
    <row r="48" spans="2:12" ht="15.75" customHeight="1" x14ac:dyDescent="0.25">
      <c r="K48" s="54"/>
    </row>
    <row r="49" spans="11:12" ht="15.75" customHeight="1" x14ac:dyDescent="0.25"/>
    <row r="50" spans="11:12" ht="15.75" customHeight="1" x14ac:dyDescent="0.25">
      <c r="K50" s="53"/>
    </row>
    <row r="51" spans="11:12" ht="15.75" customHeight="1" x14ac:dyDescent="0.25">
      <c r="K51" s="53"/>
      <c r="L51" s="45"/>
    </row>
    <row r="52" spans="11:12" ht="15.75" customHeight="1" x14ac:dyDescent="0.25"/>
    <row r="53" spans="11:12" ht="15.75" customHeight="1" x14ac:dyDescent="0.25"/>
    <row r="54" spans="11:12" ht="15.75" customHeight="1" x14ac:dyDescent="0.25"/>
    <row r="55" spans="11:12" ht="15.75" customHeight="1" x14ac:dyDescent="0.25"/>
    <row r="56" spans="11:12" ht="15.75" customHeight="1" x14ac:dyDescent="0.25">
      <c r="K56" s="53"/>
    </row>
    <row r="57" spans="11:12" ht="15.75" customHeight="1" x14ac:dyDescent="0.25">
      <c r="K57" s="7"/>
      <c r="L57" s="54"/>
    </row>
    <row r="58" spans="11:12" ht="15.75" customHeight="1" x14ac:dyDescent="0.25"/>
    <row r="59" spans="11:12" ht="15.75" customHeight="1" x14ac:dyDescent="0.25">
      <c r="K59" s="51"/>
      <c r="L59" s="54"/>
    </row>
    <row r="60" spans="11:12" ht="15.75" customHeight="1" x14ac:dyDescent="0.25">
      <c r="K60" s="53"/>
      <c r="L60" s="7"/>
    </row>
    <row r="61" spans="11:12" ht="15.75" customHeight="1" x14ac:dyDescent="0.25">
      <c r="K61" s="53"/>
      <c r="L61" s="7"/>
    </row>
    <row r="62" spans="11:12" ht="15.75" customHeight="1" x14ac:dyDescent="0.25"/>
    <row r="63" spans="11:12" ht="15.75" customHeight="1" x14ac:dyDescent="0.25"/>
    <row r="64" spans="11:12" ht="15.75" customHeight="1" x14ac:dyDescent="0.25">
      <c r="L64" s="54"/>
    </row>
    <row r="65" spans="12:12" ht="15.75" customHeight="1" x14ac:dyDescent="0.25">
      <c r="L65" s="54"/>
    </row>
    <row r="66" spans="12:12" ht="15.75" customHeight="1" x14ac:dyDescent="0.25"/>
    <row r="67" spans="12:12" ht="15.75" customHeight="1" x14ac:dyDescent="0.25"/>
    <row r="68" spans="12:12" ht="15.75" customHeight="1" x14ac:dyDescent="0.25"/>
    <row r="69" spans="12:12" ht="15.75" customHeight="1" x14ac:dyDescent="0.25"/>
    <row r="70" spans="12:12" ht="15.75" customHeight="1" x14ac:dyDescent="0.25"/>
    <row r="71" spans="12:12" ht="15.75" customHeight="1" x14ac:dyDescent="0.25"/>
    <row r="72" spans="12:12" ht="15.75" customHeight="1" x14ac:dyDescent="0.25"/>
    <row r="73" spans="12:12" ht="15.75" customHeight="1" x14ac:dyDescent="0.25"/>
    <row r="74" spans="12:12" ht="15.75" customHeight="1" x14ac:dyDescent="0.25"/>
    <row r="75" spans="12:12" ht="15.75" customHeight="1" x14ac:dyDescent="0.25"/>
    <row r="76" spans="12:12" ht="15.75" customHeight="1" x14ac:dyDescent="0.25"/>
    <row r="77" spans="12:12" ht="15.75" customHeight="1" x14ac:dyDescent="0.25"/>
    <row r="78" spans="12:12" ht="15.75" customHeight="1" x14ac:dyDescent="0.25"/>
    <row r="79" spans="12:12" ht="15.75" customHeight="1" x14ac:dyDescent="0.25"/>
    <row r="80" spans="12:12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2">
    <mergeCell ref="O8:P8"/>
    <mergeCell ref="O7:P7"/>
  </mergeCells>
  <hyperlinks>
    <hyperlink ref="Q6" r:id="rId1" xr:uid="{4915B892-4E85-48FE-8061-955A2D1A860B}"/>
  </hyperlinks>
  <pageMargins left="0.511811024" right="0.511811024" top="0.78740157499999996" bottom="0.78740157499999996" header="0" footer="0"/>
  <pageSetup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EE2FD-6F73-40F8-B3B3-32583B3F4E54}">
  <dimension ref="A2:G33"/>
  <sheetViews>
    <sheetView zoomScale="205" zoomScaleNormal="205" workbookViewId="0">
      <selection activeCell="E5" sqref="E5"/>
    </sheetView>
  </sheetViews>
  <sheetFormatPr defaultRowHeight="15" x14ac:dyDescent="0.25"/>
  <cols>
    <col min="1" max="1" width="19.7109375" bestFit="1" customWidth="1"/>
    <col min="2" max="2" width="13.7109375" customWidth="1"/>
    <col min="3" max="3" width="17" bestFit="1" customWidth="1"/>
    <col min="4" max="4" width="12.28515625" bestFit="1" customWidth="1"/>
    <col min="5" max="5" width="17.5703125" bestFit="1" customWidth="1"/>
    <col min="6" max="6" width="24.5703125" bestFit="1" customWidth="1"/>
  </cols>
  <sheetData>
    <row r="2" spans="1:7" x14ac:dyDescent="0.25">
      <c r="A2" s="20" t="s">
        <v>67</v>
      </c>
      <c r="B2" s="8" t="s">
        <v>69</v>
      </c>
      <c r="C2" s="8" t="s">
        <v>72</v>
      </c>
      <c r="D2" s="8" t="s">
        <v>73</v>
      </c>
      <c r="E2" s="8" t="s">
        <v>74</v>
      </c>
    </row>
    <row r="3" spans="1:7" x14ac:dyDescent="0.25">
      <c r="A3" s="76" t="s">
        <v>68</v>
      </c>
      <c r="B3" s="77">
        <v>80000</v>
      </c>
      <c r="C3" s="77">
        <v>350000</v>
      </c>
      <c r="D3" s="77">
        <v>100000</v>
      </c>
      <c r="E3" s="77">
        <v>550000</v>
      </c>
    </row>
    <row r="4" spans="1:7" x14ac:dyDescent="0.25">
      <c r="A4" s="20" t="s">
        <v>70</v>
      </c>
      <c r="B4" s="79">
        <v>240000</v>
      </c>
      <c r="C4" s="79">
        <v>1200000</v>
      </c>
      <c r="D4" s="79">
        <v>418910</v>
      </c>
      <c r="E4" s="79">
        <v>2900000</v>
      </c>
    </row>
    <row r="5" spans="1:7" x14ac:dyDescent="0.25">
      <c r="A5" s="52" t="s">
        <v>71</v>
      </c>
      <c r="B5" s="35">
        <v>40000</v>
      </c>
      <c r="C5" s="35">
        <v>145000</v>
      </c>
      <c r="D5" s="35">
        <v>47216</v>
      </c>
      <c r="E5" s="35">
        <f>240000</f>
        <v>240000</v>
      </c>
    </row>
    <row r="7" spans="1:7" x14ac:dyDescent="0.25">
      <c r="A7" s="20" t="s">
        <v>75</v>
      </c>
      <c r="B7" s="40">
        <f>B4/12</f>
        <v>20000</v>
      </c>
      <c r="C7" s="40">
        <f>C4/12</f>
        <v>100000</v>
      </c>
      <c r="D7" s="40">
        <f t="shared" ref="D7:E7" si="0">D4/12</f>
        <v>34909.166666666664</v>
      </c>
      <c r="E7" s="40">
        <f t="shared" si="0"/>
        <v>241666.66666666666</v>
      </c>
    </row>
    <row r="8" spans="1:7" x14ac:dyDescent="0.25">
      <c r="A8" s="52" t="s">
        <v>76</v>
      </c>
      <c r="B8" s="39">
        <f>B5/12</f>
        <v>3333.3333333333335</v>
      </c>
      <c r="C8" s="39">
        <f t="shared" ref="C8:E8" si="1">C5/12</f>
        <v>12083.333333333334</v>
      </c>
      <c r="D8" s="39">
        <f t="shared" si="1"/>
        <v>3934.6666666666665</v>
      </c>
      <c r="E8" s="39">
        <f t="shared" si="1"/>
        <v>20000</v>
      </c>
    </row>
    <row r="9" spans="1:7" x14ac:dyDescent="0.25">
      <c r="A9" s="52" t="s">
        <v>77</v>
      </c>
      <c r="B9" s="31">
        <f>B8/B7</f>
        <v>0.16666666666666669</v>
      </c>
      <c r="C9" s="31">
        <f t="shared" ref="C9:E9" si="2">C8/C7</f>
        <v>0.12083333333333333</v>
      </c>
      <c r="D9" s="31">
        <f t="shared" si="2"/>
        <v>0.1127115609558139</v>
      </c>
      <c r="E9" s="31">
        <f t="shared" si="2"/>
        <v>8.2758620689655171E-2</v>
      </c>
    </row>
    <row r="11" spans="1:7" x14ac:dyDescent="0.25">
      <c r="A11" s="52" t="s">
        <v>57</v>
      </c>
      <c r="B11" s="75">
        <f>B3/B8</f>
        <v>24</v>
      </c>
      <c r="C11" s="75">
        <f t="shared" ref="C11:E11" si="3">C3/C8</f>
        <v>28.96551724137931</v>
      </c>
      <c r="D11" s="75">
        <f t="shared" si="3"/>
        <v>25.415113520840393</v>
      </c>
      <c r="E11" s="75">
        <f t="shared" si="3"/>
        <v>27.5</v>
      </c>
    </row>
    <row r="12" spans="1:7" x14ac:dyDescent="0.25">
      <c r="A12" s="73" t="s">
        <v>61</v>
      </c>
      <c r="B12" s="36">
        <f>B8/B3</f>
        <v>4.1666666666666671E-2</v>
      </c>
      <c r="C12" s="36">
        <f t="shared" ref="C12:E12" si="4">C8/C3</f>
        <v>3.4523809523809526E-2</v>
      </c>
      <c r="D12" s="36">
        <f t="shared" si="4"/>
        <v>3.9346666666666662E-2</v>
      </c>
      <c r="E12" s="36">
        <f t="shared" si="4"/>
        <v>3.6363636363636362E-2</v>
      </c>
      <c r="G12" s="45"/>
    </row>
    <row r="13" spans="1:7" x14ac:dyDescent="0.25">
      <c r="A13" s="45"/>
      <c r="B13" s="74"/>
      <c r="C13" s="74"/>
      <c r="D13" s="74"/>
      <c r="E13" s="74"/>
      <c r="G13" s="45"/>
    </row>
    <row r="14" spans="1:7" x14ac:dyDescent="0.25">
      <c r="A14" s="78" t="s">
        <v>78</v>
      </c>
      <c r="B14" s="39">
        <f>B8*18</f>
        <v>60000</v>
      </c>
      <c r="C14" s="39">
        <f t="shared" ref="C14:E14" si="5">C8*18</f>
        <v>217500</v>
      </c>
      <c r="D14" s="39">
        <f t="shared" si="5"/>
        <v>70824</v>
      </c>
      <c r="E14" s="39">
        <f t="shared" si="5"/>
        <v>360000</v>
      </c>
      <c r="F14" s="80"/>
      <c r="G14" s="45"/>
    </row>
    <row r="15" spans="1:7" x14ac:dyDescent="0.25">
      <c r="A15" s="78" t="s">
        <v>79</v>
      </c>
      <c r="B15" s="39">
        <f>B8*20</f>
        <v>66666.666666666672</v>
      </c>
      <c r="C15" s="39">
        <f t="shared" ref="C15:E15" si="6">C8*20</f>
        <v>241666.66666666669</v>
      </c>
      <c r="D15" s="39">
        <f t="shared" si="6"/>
        <v>78693.333333333328</v>
      </c>
      <c r="E15" s="39">
        <f t="shared" si="6"/>
        <v>400000</v>
      </c>
      <c r="F15" s="80"/>
      <c r="G15" s="45"/>
    </row>
    <row r="16" spans="1:7" x14ac:dyDescent="0.25">
      <c r="A16" s="78" t="s">
        <v>80</v>
      </c>
      <c r="B16" s="39">
        <f>B8*24</f>
        <v>80000</v>
      </c>
      <c r="C16" s="39">
        <f t="shared" ref="C16:E16" si="7">C8*24</f>
        <v>290000</v>
      </c>
      <c r="D16" s="39">
        <f t="shared" si="7"/>
        <v>94432</v>
      </c>
      <c r="E16" s="39">
        <f t="shared" si="7"/>
        <v>480000</v>
      </c>
      <c r="F16" s="80"/>
      <c r="G16" s="45"/>
    </row>
    <row r="17" spans="2:7" x14ac:dyDescent="0.25">
      <c r="G17" s="45"/>
    </row>
    <row r="18" spans="2:7" x14ac:dyDescent="0.25">
      <c r="G18" s="45"/>
    </row>
    <row r="19" spans="2:7" x14ac:dyDescent="0.25">
      <c r="G19" s="45"/>
    </row>
    <row r="30" spans="2:7" x14ac:dyDescent="0.25">
      <c r="B30" s="8" t="s">
        <v>69</v>
      </c>
      <c r="C30" s="8" t="s">
        <v>72</v>
      </c>
      <c r="D30" s="8" t="s">
        <v>73</v>
      </c>
      <c r="E30" s="8" t="s">
        <v>74</v>
      </c>
    </row>
    <row r="31" spans="2:7" x14ac:dyDescent="0.25">
      <c r="B31" s="77">
        <v>80000</v>
      </c>
      <c r="C31" s="77">
        <v>350000</v>
      </c>
      <c r="D31" s="77">
        <v>100000</v>
      </c>
      <c r="E31" s="77">
        <v>550000</v>
      </c>
    </row>
    <row r="32" spans="2:7" x14ac:dyDescent="0.25">
      <c r="B32" s="79">
        <v>240000</v>
      </c>
      <c r="C32" s="79">
        <v>1200000</v>
      </c>
      <c r="D32" s="79">
        <v>418910</v>
      </c>
      <c r="E32" s="79">
        <v>2900000</v>
      </c>
    </row>
    <row r="33" spans="2:5" x14ac:dyDescent="0.25">
      <c r="B33" s="35">
        <v>40000</v>
      </c>
      <c r="C33" s="35">
        <v>145000</v>
      </c>
      <c r="D33" s="35">
        <v>47216</v>
      </c>
      <c r="E33" s="35">
        <v>240000</v>
      </c>
    </row>
  </sheetData>
  <phoneticPr fontId="20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6D934-3BA7-4959-B03A-751640C12FC9}">
  <dimension ref="A1:H13"/>
  <sheetViews>
    <sheetView zoomScale="175" zoomScaleNormal="175" workbookViewId="0">
      <selection activeCell="E5" sqref="E5"/>
    </sheetView>
  </sheetViews>
  <sheetFormatPr defaultRowHeight="15" x14ac:dyDescent="0.25"/>
  <cols>
    <col min="1" max="1" width="12.42578125" bestFit="1" customWidth="1"/>
    <col min="2" max="2" width="14.5703125" bestFit="1" customWidth="1"/>
    <col min="4" max="4" width="16.5703125" bestFit="1" customWidth="1"/>
    <col min="5" max="5" width="13.42578125" bestFit="1" customWidth="1"/>
    <col min="6" max="6" width="13.5703125" bestFit="1" customWidth="1"/>
    <col min="8" max="8" width="13.42578125" bestFit="1" customWidth="1"/>
  </cols>
  <sheetData>
    <row r="1" spans="1:8" x14ac:dyDescent="0.25">
      <c r="B1" s="51" t="s">
        <v>62</v>
      </c>
    </row>
    <row r="2" spans="1:8" x14ac:dyDescent="0.25">
      <c r="A2" s="51" t="s">
        <v>53</v>
      </c>
      <c r="B2" s="44">
        <v>100000</v>
      </c>
    </row>
    <row r="3" spans="1:8" x14ac:dyDescent="0.25">
      <c r="A3" s="51" t="s">
        <v>11</v>
      </c>
      <c r="B3" s="44">
        <v>10000</v>
      </c>
      <c r="C3" s="6">
        <f>B3/B2</f>
        <v>0.1</v>
      </c>
      <c r="H3" s="51"/>
    </row>
    <row r="4" spans="1:8" x14ac:dyDescent="0.25">
      <c r="H4" s="5"/>
    </row>
    <row r="6" spans="1:8" x14ac:dyDescent="0.25">
      <c r="B6" s="20" t="s">
        <v>57</v>
      </c>
      <c r="C6" s="20" t="s">
        <v>58</v>
      </c>
      <c r="D6" s="20" t="s">
        <v>59</v>
      </c>
      <c r="E6" s="20" t="s">
        <v>60</v>
      </c>
      <c r="F6" s="20" t="s">
        <v>61</v>
      </c>
    </row>
    <row r="7" spans="1:8" x14ac:dyDescent="0.25">
      <c r="B7" s="66">
        <v>18</v>
      </c>
      <c r="C7" s="67">
        <f>B7*$C$3</f>
        <v>1.8</v>
      </c>
      <c r="D7" s="68">
        <f>$B$2*C7</f>
        <v>180000</v>
      </c>
      <c r="E7" s="69">
        <f>D7/B7</f>
        <v>10000</v>
      </c>
      <c r="F7" s="70">
        <f>E7/D7</f>
        <v>5.5555555555555552E-2</v>
      </c>
    </row>
    <row r="8" spans="1:8" x14ac:dyDescent="0.25">
      <c r="B8" s="66">
        <v>19</v>
      </c>
      <c r="C8" s="67">
        <f t="shared" ref="C8:C13" si="0">B8*$C$3</f>
        <v>1.9000000000000001</v>
      </c>
      <c r="D8" s="68">
        <f t="shared" ref="D8:D13" si="1">$B$2*C8</f>
        <v>190000</v>
      </c>
      <c r="E8" s="69">
        <f t="shared" ref="E8:E13" si="2">D8/B8</f>
        <v>10000</v>
      </c>
      <c r="F8" s="70">
        <f t="shared" ref="F8:F13" si="3">E8/D8</f>
        <v>5.2631578947368418E-2</v>
      </c>
    </row>
    <row r="9" spans="1:8" x14ac:dyDescent="0.25">
      <c r="B9" s="66">
        <v>20</v>
      </c>
      <c r="C9" s="67">
        <f t="shared" si="0"/>
        <v>2</v>
      </c>
      <c r="D9" s="68">
        <f t="shared" si="1"/>
        <v>200000</v>
      </c>
      <c r="E9" s="69">
        <f t="shared" si="2"/>
        <v>10000</v>
      </c>
      <c r="F9" s="70">
        <f t="shared" si="3"/>
        <v>0.05</v>
      </c>
    </row>
    <row r="10" spans="1:8" x14ac:dyDescent="0.25">
      <c r="B10" s="19">
        <v>21</v>
      </c>
      <c r="C10" s="34">
        <f t="shared" si="0"/>
        <v>2.1</v>
      </c>
      <c r="D10" s="30">
        <f t="shared" si="1"/>
        <v>210000</v>
      </c>
      <c r="E10" s="65">
        <f t="shared" si="2"/>
        <v>10000</v>
      </c>
      <c r="F10" s="36">
        <f t="shared" si="3"/>
        <v>4.7619047619047616E-2</v>
      </c>
    </row>
    <row r="11" spans="1:8" x14ac:dyDescent="0.25">
      <c r="B11" s="19">
        <v>22</v>
      </c>
      <c r="C11" s="34">
        <f t="shared" si="0"/>
        <v>2.2000000000000002</v>
      </c>
      <c r="D11" s="30">
        <f t="shared" si="1"/>
        <v>220000.00000000003</v>
      </c>
      <c r="E11" s="65">
        <f t="shared" si="2"/>
        <v>10000.000000000002</v>
      </c>
      <c r="F11" s="36">
        <f t="shared" si="3"/>
        <v>4.5454545454545456E-2</v>
      </c>
    </row>
    <row r="12" spans="1:8" x14ac:dyDescent="0.25">
      <c r="B12" s="19">
        <v>23</v>
      </c>
      <c r="C12" s="34">
        <f t="shared" si="0"/>
        <v>2.3000000000000003</v>
      </c>
      <c r="D12" s="30">
        <f t="shared" si="1"/>
        <v>230000.00000000003</v>
      </c>
      <c r="E12" s="65">
        <f t="shared" si="2"/>
        <v>10000.000000000002</v>
      </c>
      <c r="F12" s="36">
        <f t="shared" si="3"/>
        <v>4.3478260869565223E-2</v>
      </c>
    </row>
    <row r="13" spans="1:8" x14ac:dyDescent="0.25">
      <c r="B13" s="19">
        <v>24</v>
      </c>
      <c r="C13" s="34">
        <f t="shared" si="0"/>
        <v>2.4000000000000004</v>
      </c>
      <c r="D13" s="30">
        <f t="shared" si="1"/>
        <v>240000.00000000003</v>
      </c>
      <c r="E13" s="65">
        <f t="shared" si="2"/>
        <v>10000.000000000002</v>
      </c>
      <c r="F13" s="36">
        <f t="shared" si="3"/>
        <v>4.1666666666666671E-2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Intro</vt:lpstr>
      <vt:lpstr>TABELA MFM</vt:lpstr>
      <vt:lpstr>FCD</vt:lpstr>
      <vt:lpstr>Anúncios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Alberto de Oliveira Reis</dc:creator>
  <cp:lastModifiedBy>Diogo Reis</cp:lastModifiedBy>
  <dcterms:created xsi:type="dcterms:W3CDTF">2024-09-23T15:31:03Z</dcterms:created>
  <dcterms:modified xsi:type="dcterms:W3CDTF">2025-09-04T23:15:14Z</dcterms:modified>
</cp:coreProperties>
</file>